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5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мы-патриоты (дневной)" sheetId="18" r:id="rId5"/>
    <sheet name="слет кадетов (дневной)" sheetId="17" r:id="rId6"/>
    <sheet name="путевки" sheetId="11" r:id="rId7"/>
    <sheet name="Лист4" sheetId="14" r:id="rId8"/>
  </sheets>
  <definedNames>
    <definedName name="_xlnm.Print_Area" localSheetId="0">лето!$A$1:$S$51</definedName>
    <definedName name="_xlnm.Print_Area" localSheetId="6">путевки!$A$1:$R$41</definedName>
  </definedNames>
  <calcPr calcId="145621"/>
</workbook>
</file>

<file path=xl/calcChain.xml><?xml version="1.0" encoding="utf-8"?>
<calcChain xmlns="http://schemas.openxmlformats.org/spreadsheetml/2006/main">
  <c r="H30" i="1" l="1"/>
  <c r="H28" i="1"/>
  <c r="H26" i="1"/>
  <c r="H16" i="1"/>
  <c r="H17" i="1"/>
  <c r="H15" i="1"/>
  <c r="G14" i="18" l="1"/>
  <c r="F14" i="18"/>
  <c r="D14" i="18"/>
  <c r="C14" i="18"/>
  <c r="E12" i="18"/>
  <c r="H12" i="18" s="1"/>
  <c r="H14" i="18" s="1"/>
  <c r="E14" i="18" l="1"/>
  <c r="E12" i="17" l="1"/>
  <c r="E11" i="3"/>
  <c r="E11" i="15"/>
  <c r="O22" i="1"/>
  <c r="O31" i="1"/>
  <c r="O30" i="1"/>
  <c r="H31" i="1"/>
  <c r="I31" i="1"/>
  <c r="J31" i="1"/>
  <c r="K31" i="1"/>
  <c r="L31" i="1"/>
  <c r="M31" i="1"/>
  <c r="N31" i="1"/>
  <c r="P31" i="1"/>
  <c r="Q31" i="1"/>
  <c r="R31" i="1"/>
  <c r="G31" i="1"/>
  <c r="D31" i="1"/>
  <c r="E31" i="1"/>
  <c r="F31" i="1"/>
  <c r="C31" i="1"/>
  <c r="C30" i="1"/>
  <c r="N28" i="1" l="1"/>
  <c r="M28" i="1" l="1"/>
  <c r="L28" i="1"/>
  <c r="K28" i="1"/>
  <c r="L30" i="1" l="1"/>
  <c r="K30" i="1"/>
  <c r="K29" i="1"/>
  <c r="K25" i="1"/>
  <c r="K24" i="1"/>
  <c r="K23" i="1"/>
  <c r="K21" i="1"/>
  <c r="K20" i="1"/>
  <c r="K18" i="1"/>
  <c r="L17" i="1"/>
  <c r="K17" i="1"/>
  <c r="L15" i="1"/>
  <c r="K15" i="1"/>
  <c r="J11" i="1"/>
  <c r="I11" i="1"/>
  <c r="H11" i="1"/>
  <c r="G11" i="1"/>
  <c r="O25" i="1"/>
  <c r="O24" i="1"/>
  <c r="O23" i="1"/>
  <c r="O21" i="1"/>
  <c r="O20" i="1"/>
  <c r="O18" i="1"/>
  <c r="P17" i="1"/>
  <c r="O17" i="1"/>
  <c r="O14" i="1"/>
  <c r="R13" i="1"/>
  <c r="Q13" i="1"/>
  <c r="P13" i="1"/>
  <c r="O13" i="1"/>
  <c r="P30" i="1"/>
  <c r="O29" i="1"/>
  <c r="R28" i="1"/>
  <c r="Q28" i="1"/>
  <c r="P28" i="1"/>
  <c r="O28" i="1"/>
  <c r="O27" i="1"/>
  <c r="P26" i="1"/>
  <c r="O26" i="1"/>
  <c r="P15" i="1"/>
  <c r="O15" i="1"/>
  <c r="P11" i="1"/>
  <c r="Q11" i="1"/>
  <c r="R11" i="1"/>
  <c r="O11" i="1"/>
  <c r="I12" i="1"/>
  <c r="G14" i="1"/>
  <c r="J13" i="1"/>
  <c r="J12" i="1" s="1"/>
  <c r="I13" i="1"/>
  <c r="H13" i="1"/>
  <c r="H12" i="1" s="1"/>
  <c r="G13" i="1"/>
  <c r="G12" i="1" s="1"/>
  <c r="F13" i="3" l="1"/>
  <c r="S30" i="1" l="1"/>
  <c r="S28" i="1"/>
  <c r="K27" i="1"/>
  <c r="L26" i="1"/>
  <c r="K26" i="1"/>
  <c r="K22" i="1"/>
  <c r="K19" i="1"/>
  <c r="L16" i="1"/>
  <c r="K16" i="1"/>
  <c r="M12" i="1"/>
  <c r="K12" i="1"/>
  <c r="L12" i="1"/>
  <c r="N12" i="1"/>
  <c r="S29" i="1"/>
  <c r="S27" i="1"/>
  <c r="S15" i="1"/>
  <c r="R12" i="1"/>
  <c r="R16" i="1"/>
  <c r="R19" i="1"/>
  <c r="R22" i="1"/>
  <c r="P22" i="1"/>
  <c r="Q22" i="1"/>
  <c r="D22" i="1"/>
  <c r="E22" i="1"/>
  <c r="F22" i="1"/>
  <c r="C22" i="1"/>
  <c r="D19" i="1"/>
  <c r="E19" i="1"/>
  <c r="F19" i="1"/>
  <c r="E16" i="1"/>
  <c r="F16" i="1"/>
  <c r="F12" i="1"/>
  <c r="S26" i="1" l="1"/>
  <c r="S22" i="1"/>
  <c r="S11" i="1"/>
  <c r="N22" i="11"/>
  <c r="O22" i="11"/>
  <c r="Q22" i="11"/>
  <c r="F30" i="11"/>
  <c r="C53" i="1" l="1"/>
  <c r="L38" i="11"/>
  <c r="L37" i="11"/>
  <c r="P37" i="11"/>
  <c r="Q37" i="11" s="1"/>
  <c r="L36" i="11"/>
  <c r="P36" i="11"/>
  <c r="I39" i="11" l="1"/>
  <c r="J39" i="11"/>
  <c r="K39" i="11"/>
  <c r="L39" i="11"/>
  <c r="M39" i="11"/>
  <c r="R39" i="11"/>
  <c r="H39" i="11"/>
  <c r="F39" i="11"/>
  <c r="M32" i="11"/>
  <c r="R32" i="11" s="1"/>
  <c r="K32" i="11"/>
  <c r="H32" i="11"/>
  <c r="L25" i="11"/>
  <c r="M25" i="11"/>
  <c r="K25" i="11"/>
  <c r="L22" i="11"/>
  <c r="I32" i="11" l="1"/>
  <c r="J32" i="11" s="1"/>
  <c r="Q32" i="11" s="1"/>
  <c r="P32" i="11" s="1"/>
  <c r="L34" i="11"/>
  <c r="P34" i="11" s="1"/>
  <c r="L33" i="11"/>
  <c r="Q34" i="11" l="1"/>
  <c r="H34" i="11"/>
  <c r="L19" i="11" l="1"/>
  <c r="R37" i="11" l="1"/>
  <c r="K37" i="11"/>
  <c r="O37" i="11" s="1"/>
  <c r="N37" i="11" s="1"/>
  <c r="H37" i="11"/>
  <c r="I37" i="11" s="1"/>
  <c r="J37" i="11" s="1"/>
  <c r="H33" i="11" l="1"/>
  <c r="L16" i="11"/>
  <c r="M16" i="11"/>
  <c r="Q36" i="11" l="1"/>
  <c r="P33" i="11"/>
  <c r="Q33" i="11" s="1"/>
  <c r="K33" i="11"/>
  <c r="O33" i="11" s="1"/>
  <c r="N33" i="11" s="1"/>
  <c r="I33" i="11"/>
  <c r="J33" i="11" s="1"/>
  <c r="R33" i="11"/>
  <c r="K36" i="11"/>
  <c r="O36" i="11" s="1"/>
  <c r="N36" i="11" s="1"/>
  <c r="H36" i="11"/>
  <c r="I36" i="11" s="1"/>
  <c r="J36" i="11" s="1"/>
  <c r="R36" i="11"/>
  <c r="M31" i="11"/>
  <c r="L31" i="11"/>
  <c r="L20" i="11"/>
  <c r="M20" i="11"/>
  <c r="M19" i="11"/>
  <c r="R19" i="11" s="1"/>
  <c r="K19" i="11"/>
  <c r="I19" i="11"/>
  <c r="J19" i="11" s="1"/>
  <c r="H19" i="11"/>
  <c r="L18" i="11"/>
  <c r="M18" i="11"/>
  <c r="L15" i="11"/>
  <c r="M15" i="11"/>
  <c r="I15" i="11"/>
  <c r="H15" i="11"/>
  <c r="Q19" i="11" l="1"/>
  <c r="P19" i="11" s="1"/>
  <c r="F14" i="17" l="1"/>
  <c r="D14" i="17"/>
  <c r="C14" i="17"/>
  <c r="G14" i="17"/>
  <c r="H12" i="17" l="1"/>
  <c r="H14" i="17" s="1"/>
  <c r="E14" i="17"/>
  <c r="L13" i="11" l="1"/>
  <c r="M13" i="11"/>
  <c r="I13" i="11"/>
  <c r="H13" i="11"/>
  <c r="J13" i="11" s="1"/>
  <c r="H12" i="11"/>
  <c r="M12" i="11"/>
  <c r="L12" i="11"/>
  <c r="I12" i="11"/>
  <c r="K13" i="11"/>
  <c r="K12" i="11"/>
  <c r="J12" i="11" l="1"/>
  <c r="Q12" i="11" s="1"/>
  <c r="P12" i="11" s="1"/>
  <c r="Q13" i="11"/>
  <c r="P13" i="11" s="1"/>
  <c r="R15" i="11"/>
  <c r="N30" i="11"/>
  <c r="O30" i="11"/>
  <c r="O34" i="11" l="1"/>
  <c r="R31" i="11"/>
  <c r="H25" i="11"/>
  <c r="N34" i="11" l="1"/>
  <c r="L30" i="11"/>
  <c r="O38" i="11"/>
  <c r="H38" i="11"/>
  <c r="I38" i="11" s="1"/>
  <c r="P38" i="11"/>
  <c r="I34" i="11"/>
  <c r="K31" i="11"/>
  <c r="O31" i="11" s="1"/>
  <c r="P31" i="11"/>
  <c r="Q31" i="11" s="1"/>
  <c r="H31" i="11"/>
  <c r="F41" i="11"/>
  <c r="R25" i="11"/>
  <c r="I25" i="11"/>
  <c r="J25" i="11" s="1"/>
  <c r="Q25" i="11" s="1"/>
  <c r="M24" i="11"/>
  <c r="R24" i="11" s="1"/>
  <c r="K24" i="11"/>
  <c r="I24" i="11"/>
  <c r="H24" i="11"/>
  <c r="I22" i="11"/>
  <c r="H22" i="11"/>
  <c r="Q38" i="11" l="1"/>
  <c r="Q39" i="11" s="1"/>
  <c r="P39" i="11"/>
  <c r="N38" i="11"/>
  <c r="N39" i="11" s="1"/>
  <c r="O39" i="11"/>
  <c r="O41" i="11" s="1"/>
  <c r="J22" i="11"/>
  <c r="P25" i="11"/>
  <c r="N31" i="11"/>
  <c r="N41" i="11" s="1"/>
  <c r="I31" i="11"/>
  <c r="J24" i="11"/>
  <c r="Q24" i="11" s="1"/>
  <c r="P24" i="11" l="1"/>
  <c r="J31" i="11"/>
  <c r="P22" i="11"/>
  <c r="H21" i="11"/>
  <c r="M21" i="11"/>
  <c r="R21" i="11" s="1"/>
  <c r="K21" i="11"/>
  <c r="I21" i="11"/>
  <c r="K20" i="11"/>
  <c r="H20" i="11"/>
  <c r="R20" i="11"/>
  <c r="I20" i="11"/>
  <c r="R18" i="11"/>
  <c r="H18" i="11"/>
  <c r="K18" i="11"/>
  <c r="I18" i="11"/>
  <c r="H17" i="11"/>
  <c r="M17" i="11"/>
  <c r="K17" i="11"/>
  <c r="I17" i="11"/>
  <c r="K16" i="11"/>
  <c r="H16" i="11"/>
  <c r="R16" i="11"/>
  <c r="I16" i="11"/>
  <c r="I30" i="11" s="1"/>
  <c r="K15" i="11"/>
  <c r="J21" i="11" l="1"/>
  <c r="Q21" i="11" s="1"/>
  <c r="K30" i="11"/>
  <c r="K41" i="11" s="1"/>
  <c r="H30" i="11"/>
  <c r="H41" i="11" s="1"/>
  <c r="R17" i="11"/>
  <c r="M30" i="11"/>
  <c r="M41" i="11" s="1"/>
  <c r="J18" i="11"/>
  <c r="Q18" i="11" s="1"/>
  <c r="J15" i="11"/>
  <c r="Q15" i="11" s="1"/>
  <c r="I41" i="11"/>
  <c r="L41" i="11"/>
  <c r="J17" i="11"/>
  <c r="Q17" i="11" s="1"/>
  <c r="J20" i="11"/>
  <c r="Q20" i="11" s="1"/>
  <c r="J16" i="11"/>
  <c r="Q16" i="11" s="1"/>
  <c r="P17" i="11" l="1"/>
  <c r="P18" i="11"/>
  <c r="P21" i="11"/>
  <c r="P16" i="11"/>
  <c r="P20" i="11"/>
  <c r="R30" i="11"/>
  <c r="R41" i="11" s="1"/>
  <c r="J30" i="11"/>
  <c r="J41" i="11" s="1"/>
  <c r="D13" i="15"/>
  <c r="D13" i="3"/>
  <c r="Q30" i="11" l="1"/>
  <c r="Q41" i="11" s="1"/>
  <c r="P15" i="11"/>
  <c r="P30" i="11" l="1"/>
  <c r="P41" i="11" s="1"/>
  <c r="C13" i="3" l="1"/>
  <c r="E13" i="15"/>
  <c r="G13" i="15"/>
  <c r="H11" i="15" l="1"/>
  <c r="H13" i="15" s="1"/>
  <c r="F29" i="2"/>
  <c r="G29" i="2" s="1"/>
  <c r="E29" i="2"/>
  <c r="F28" i="2"/>
  <c r="E28" i="2"/>
  <c r="F27" i="2"/>
  <c r="E27" i="2"/>
  <c r="F26" i="2"/>
  <c r="E26" i="2"/>
  <c r="E25" i="2"/>
  <c r="F25" i="2"/>
  <c r="F24" i="2"/>
  <c r="E24" i="2"/>
  <c r="F23" i="2"/>
  <c r="E23" i="2"/>
  <c r="F21" i="2"/>
  <c r="E21" i="2"/>
  <c r="F20" i="2"/>
  <c r="E20" i="2"/>
  <c r="F18" i="2"/>
  <c r="E18" i="2"/>
  <c r="F17" i="2"/>
  <c r="F16" i="2" s="1"/>
  <c r="E17" i="2"/>
  <c r="E16" i="2" s="1"/>
  <c r="F15" i="2"/>
  <c r="E15" i="2"/>
  <c r="G15" i="2" s="1"/>
  <c r="F14" i="2"/>
  <c r="F13" i="2"/>
  <c r="F12" i="2" s="1"/>
  <c r="E14" i="2"/>
  <c r="E13" i="2"/>
  <c r="E12" i="2" s="1"/>
  <c r="F11" i="2"/>
  <c r="E11" i="2"/>
  <c r="D22" i="2"/>
  <c r="C22" i="2"/>
  <c r="D19" i="2"/>
  <c r="C19" i="2"/>
  <c r="D16" i="2"/>
  <c r="C16" i="2"/>
  <c r="D12" i="2"/>
  <c r="C12" i="2"/>
  <c r="O12" i="1"/>
  <c r="C19" i="1"/>
  <c r="D16" i="1"/>
  <c r="C16" i="1"/>
  <c r="D12" i="1"/>
  <c r="E12" i="1"/>
  <c r="C12" i="1"/>
  <c r="G26" i="2" l="1"/>
  <c r="E22" i="2"/>
  <c r="E30" i="2" s="1"/>
  <c r="F19" i="2"/>
  <c r="G19" i="2" s="1"/>
  <c r="E19" i="2"/>
  <c r="F22" i="2"/>
  <c r="C30" i="2"/>
  <c r="G28" i="2"/>
  <c r="D30" i="2"/>
  <c r="P12" i="1"/>
  <c r="Q12" i="1"/>
  <c r="P19" i="1"/>
  <c r="G27" i="2"/>
  <c r="G12" i="2"/>
  <c r="G11" i="2"/>
  <c r="O16" i="1"/>
  <c r="Q19" i="1"/>
  <c r="P16" i="1"/>
  <c r="Q16" i="1"/>
  <c r="O19" i="1"/>
  <c r="G16" i="2"/>
  <c r="G22" i="2"/>
  <c r="F30" i="2" l="1"/>
  <c r="C52" i="1"/>
  <c r="S12" i="1"/>
  <c r="S19" i="1"/>
  <c r="S16" i="1"/>
  <c r="S31" i="1" s="1"/>
  <c r="C54" i="1" l="1"/>
  <c r="E13" i="3"/>
  <c r="G13" i="3"/>
  <c r="H11" i="3" l="1"/>
  <c r="H13" i="3" s="1"/>
  <c r="G30" i="2" l="1"/>
</calcChain>
</file>

<file path=xl/sharedStrings.xml><?xml version="1.0" encoding="utf-8"?>
<sst xmlns="http://schemas.openxmlformats.org/spreadsheetml/2006/main" count="383" uniqueCount="197">
  <si>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</si>
  <si>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</si>
  <si>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</si>
  <si>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</si>
  <si>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</si>
  <si>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</si>
  <si>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</si>
  <si>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</si>
  <si>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</si>
  <si>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</si>
  <si>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</si>
  <si>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</si>
  <si>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</si>
  <si>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</si>
  <si>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</si>
  <si>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</si>
  <si>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</si>
  <si>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</si>
  <si>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</si>
  <si>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</si>
  <si>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>МБОУ "СОШ" пст. Чернореченский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</si>
  <si>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</si>
  <si>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</si>
  <si>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</si>
  <si>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</si>
  <si>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</si>
  <si>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</si>
  <si>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</si>
  <si>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</si>
  <si>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</si>
  <si>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Примечание 2:</t>
  </si>
  <si>
    <t>1 смена (июль)</t>
  </si>
  <si>
    <t>Численность сопровождающих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</si>
  <si>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</si>
  <si>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</si>
  <si>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1 смена (июнь),            91 р/д * 14 раб. дней</t>
  </si>
  <si>
    <t>осенние каникулы,            91 р/д * 5 раб. дней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</si>
  <si>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</si>
  <si>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</si>
  <si>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</si>
  <si>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</si>
  <si>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</si>
  <si>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</si>
  <si>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</si>
  <si>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</si>
  <si>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</si>
  <si>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</si>
  <si>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</si>
  <si>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</si>
  <si>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</si>
  <si>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</si>
  <si>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</si>
  <si>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</si>
  <si>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</si>
  <si>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</si>
  <si>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Санаторий "Черноморская зорька", г.Анапа </t>
  </si>
  <si>
    <t>Санаторий "Колос", Кировская область,Оричевский район,п.Колос</t>
  </si>
  <si>
    <t>Санаторий "Бобровниково", Великий Устюг</t>
  </si>
  <si>
    <t>Приложение №4</t>
  </si>
  <si>
    <t>- учебный корпус в с. Шошка</t>
  </si>
  <si>
    <t>- учебный корпус в пст. Мещура</t>
  </si>
  <si>
    <t>от 2016 года №</t>
  </si>
  <si>
    <t>1. Родительский взнос в виде безвозмездного поступления в размере 300 рублей с одного ребенка в смену.</t>
  </si>
  <si>
    <t>Родительский взнос за смену (300 рублей) без учета детей ТЖС</t>
  </si>
  <si>
    <t>- учебный корпус в с. Туръя</t>
  </si>
  <si>
    <t>Приложение №6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</si>
  <si>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</si>
  <si>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</si>
  <si>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родительский взнос за смену (300 рублей) без учета детей ТЖС</t>
  </si>
  <si>
    <t>Приложение №5</t>
  </si>
  <si>
    <t>Численность сопровождающих в смену</t>
  </si>
  <si>
    <t>Организация работы оздоровительного лагеря с дневным пребыванием детей "Школа молодого актива".</t>
  </si>
  <si>
    <t>План организации работы профильного летнего лагеря с дневным прибыванием детей "Твое призвание"</t>
  </si>
  <si>
    <t>1</t>
  </si>
  <si>
    <t>другие категории</t>
  </si>
  <si>
    <t>Сроки заезда</t>
  </si>
  <si>
    <t>04.06.2016-24.06.2016</t>
  </si>
  <si>
    <t>21</t>
  </si>
  <si>
    <t>12</t>
  </si>
  <si>
    <t>23.06.2016-13.07.2016</t>
  </si>
  <si>
    <t>24.06.2016-14.07.2016</t>
  </si>
  <si>
    <t>Детский оздоровительный лагерь "Мечта" (смена "Семь футов под килем"), г. Сыктывкар</t>
  </si>
  <si>
    <t>Детский санаторно-оздоровительный лагерь "Мир", г. Таганрог</t>
  </si>
  <si>
    <t>13.07.2016-02.08.2016</t>
  </si>
  <si>
    <t>Детский санаторно-оздоровительный лагерь "Спутник", г. Таганрог</t>
  </si>
  <si>
    <t>14.07.2016-03.08.2016</t>
  </si>
  <si>
    <t>Детский оздоровительно-образовательный центр "Гренада" (республиканская этнокультурная смена "Радлун"), г. Сыктывкар</t>
  </si>
  <si>
    <t>18.07.2016-07.08.2016</t>
  </si>
  <si>
    <t>01.08.2016-21.08.2016</t>
  </si>
  <si>
    <t>09.08.2016-29.08.2016</t>
  </si>
  <si>
    <t>Итого другие категории детей</t>
  </si>
  <si>
    <t>ТЖС</t>
  </si>
  <si>
    <t>12.07.2016-01.08.2016</t>
  </si>
  <si>
    <t>24.06.2016-14.04.2016</t>
  </si>
  <si>
    <t>ИТОГО категория ТЖС</t>
  </si>
  <si>
    <t>Всего</t>
  </si>
  <si>
    <t>Профильный лагерь "Московские этюды", г. Москва</t>
  </si>
  <si>
    <t>04.05.2016-10.05.2016</t>
  </si>
  <si>
    <t>7</t>
  </si>
  <si>
    <t>24</t>
  </si>
  <si>
    <t>2</t>
  </si>
  <si>
    <t>Профильный лагерь "Город над вольной Невой", г. Санкт-Петербург</t>
  </si>
  <si>
    <t>09.05.2016-15.05.2016</t>
  </si>
  <si>
    <t>13</t>
  </si>
  <si>
    <t>3</t>
  </si>
  <si>
    <t>Детский оздоровительный лагерь "Мечта" (профильная смена для участников финала "Зарница-2016"), г. Сыктывкар</t>
  </si>
  <si>
    <t>16.05.2016-22.05.2016</t>
  </si>
  <si>
    <t>4</t>
  </si>
  <si>
    <t>5</t>
  </si>
  <si>
    <t>11</t>
  </si>
  <si>
    <t>14</t>
  </si>
  <si>
    <t>Туристическая оздоровительная база "Сысола" (палаточный лагерь"), Сысольский район, пос. Первомайский</t>
  </si>
  <si>
    <t>04.08.2016-10.08.2016</t>
  </si>
  <si>
    <t>Детский оздоровительно-образовательный центр "Гренада" (профильная смена "Безопасное колесо"), г. Сыктывкар</t>
  </si>
  <si>
    <t>03.09.2016-09.09.2016</t>
  </si>
  <si>
    <t>15</t>
  </si>
  <si>
    <t>Детский оздоровительно-образовательный центр "Гренада" (профильная смена республиканского слета участников лагерей труда и отдыха, молодых трудовых бригад), г. Сыктывкар</t>
  </si>
  <si>
    <t>04.09.2016-10.09.2016</t>
  </si>
  <si>
    <t>10</t>
  </si>
  <si>
    <t>Детский оздоровительный лагерь "Мечта" (смена для участников республиканских соревнований "Школа безопасности"), г. Сыктывкар</t>
  </si>
  <si>
    <t>12.09.2016-18.09.2016</t>
  </si>
  <si>
    <t>8</t>
  </si>
  <si>
    <t>6</t>
  </si>
  <si>
    <t>9</t>
  </si>
  <si>
    <t>16</t>
  </si>
  <si>
    <t>Организация работы профильного патриотического лагеря с дневным пребыванием детей "Слет кадетов"</t>
  </si>
  <si>
    <t>МБОУ "СОШ №1" г. Емвы</t>
  </si>
  <si>
    <t>17</t>
  </si>
  <si>
    <t>Детский санаторно-оздоровительный лагерь "Уральские самоцветы", г. Анапа</t>
  </si>
  <si>
    <t>17.07.2016-07.08.2016</t>
  </si>
  <si>
    <t>Детский санаторно-оздоровительный лагерь "Лесная сказка", Республика Чувашия</t>
  </si>
  <si>
    <t>30.06.2016-20.07.2016</t>
  </si>
  <si>
    <t>03.08.2016-24.08.2016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</si>
  <si>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</si>
  <si>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07.08.2016-26.08.2016</t>
  </si>
  <si>
    <t>Детский оздоровительный лагерь "Чайка", п. Малая Слуда, Республика Коми</t>
  </si>
  <si>
    <t>16.07.2016-06.08.2016</t>
  </si>
  <si>
    <t>28.08.2016-17.09.2016</t>
  </si>
  <si>
    <t>18</t>
  </si>
  <si>
    <t>Детский оздоровительный лагерь "Чайка",  (фестиваль для состоящих на проф.учете "Спортивная улица")п. Малая Слуда, Республика Коми</t>
  </si>
  <si>
    <t>другие категория</t>
  </si>
  <si>
    <t>10.09.2016-16.09.2016</t>
  </si>
  <si>
    <t>2 смена (июнь-июль)</t>
  </si>
  <si>
    <t>3 смена (июль-август)</t>
  </si>
  <si>
    <t>4 смена (август)</t>
  </si>
  <si>
    <t>- учебный корпус с. Туръя</t>
  </si>
  <si>
    <t>МАОДО "ДШИ" г. Емва (питание 1-ой смены организовано на базе МБОУ "СОШ №2" г. Емвы)</t>
  </si>
  <si>
    <t>1. Первая смена будет работать с 1 по 21 июня. Торжественное открытие оздоровительных лагерей с дневным пребыванием детей состоится 1 июня 2017 года в 10.00 ч.</t>
  </si>
  <si>
    <t>2. Закрытие смены 21 июня в 14.00 ч. Выходные дни - 3,4,10,11,12,17,18 июня 2017 года.</t>
  </si>
  <si>
    <t>5. Третья смена будет работать с 17 июля по 6 августа. Открытие смены состоится 17 июля в 10.00 ч.</t>
  </si>
  <si>
    <t>7. Четвертая смена будет работать с 9 по 29 августа. Открытие смены состоится 9 августа в 10.00 ч.</t>
  </si>
  <si>
    <t>6. Закрытие 3 смены 6 августа в 14.00 ч. Выходные дни - 22,23,29,30 июля 2017 года.</t>
  </si>
  <si>
    <t>МАУДО "ДДТ" Княжпогостского района (питание 1-ой и 2-ой смены организовано на базе МБОУ "СОШ №2" г. Емвы, питание 3-ей и 4-ой смены организовано на базе МБОУ "СОШ №1" г. Емвы)</t>
  </si>
  <si>
    <t>МАУДО "ДЮСШ" Княжпогостского района (питание 1-ой и 2-ой смены организовано на базе МБОУ "СОШ №2" г. Емвы)</t>
  </si>
  <si>
    <t>3 смена (июль-август),            91 р/д * 15 раб. дней</t>
  </si>
  <si>
    <t>4 смена (август), 91 р/д * 14 раб. дней</t>
  </si>
  <si>
    <t>8. Закратие четвертой смены 29 августа в 14.00 ч. Выходные дни - 12,13,19,20,22,26,27 августа 2017 года.</t>
  </si>
  <si>
    <t>2 смена                            (июнь-июль)</t>
  </si>
  <si>
    <t>Примечание 3:</t>
  </si>
  <si>
    <t>1. Питание организовано на базе МБОУ "СОШ №2" г. Емвы</t>
  </si>
  <si>
    <t>МАУДО "ДДТ" Княжпогостского района (питание организовано на базе МБОУ "СОШ №2" г. Емвы)</t>
  </si>
  <si>
    <t>1. Питание организовано на базе МБОУ "СОШ №1" г. Емвы</t>
  </si>
  <si>
    <t>весенние каникулы</t>
  </si>
  <si>
    <t>весенние каникулы,            91 р/д * 5 раб. дней</t>
  </si>
  <si>
    <t>МАУДО "ДДТ" Княжпогостского района (питание в период весенних каникул организовано на базе МБОУ "СОШ №2" г. Емвы, в период осенних каникул питание организовано на базе МБОУ "СОШ №1" г. Емвы)</t>
  </si>
  <si>
    <t>МАУ ДО "ДЮСШ" Княжпогостского района (питание в период весенних каникул организовано на базе МБОУ "СОШ №1" г. Емвы, в период осенних каникул питание организовано на базе МБОУ "СОШ №2" г. Емвы)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</si>
  <si>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</si>
  <si>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</si>
  <si>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</si>
  <si>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</si>
  <si>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</si>
  <si>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</si>
  <si>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2.  Профильный лагерь "Твое призвание" будет работать с 26 июня по 16 июля. Торжественное открытие лагеря состоится 26 июня 2017 года в 10.00 ч.</t>
  </si>
  <si>
    <t>2 смена                            (июнь-июль),             91 р/д * 15 дней</t>
  </si>
  <si>
    <t>2.  Профильный лагерь "Школа молодого актива" будет работать с 3 июля по 23 июля. Торжественное открытие лагеря состоится 3 июля 2017 года в 10.00 ч.</t>
  </si>
  <si>
    <t>3. Закрытие смены состоится 21 июля 2017 года в 14.00 ч. Выходные дни 8,9,15,16,22,23 июля 2017 года</t>
  </si>
  <si>
    <t xml:space="preserve">1 смена (июль),         91,0 р/д * 15 дней        </t>
  </si>
  <si>
    <t>1. Профильный лагерь "Слет кадетов" с дневным пребыванием детей в период летних каникул при МБОУ "СОШ №1" г. Емвы работает 15 рабочих дней.</t>
  </si>
  <si>
    <t>2.  Профильный лагерь "Слет кадетов" будет работать с 25 июля по 14 августа. Торжественное открытие лагеря состоится 25 июля 2017 года в 10.00 ч.</t>
  </si>
  <si>
    <t>3. Закрытие смены состоится 14 августа 2017 года в 14.00 ч. Выходные дни 29,30 июля и 5,6,12,13 августа 2017 года</t>
  </si>
  <si>
    <t xml:space="preserve">91,0 р/д * 15 дней        </t>
  </si>
  <si>
    <t>1. Профильный лагерь "Школа молодого актива" с дневным пребыванием детей в период летних каникул при МАУДО "ДДТ" Княжпогостского района работает 15 рабочих дней.</t>
  </si>
  <si>
    <t>1. Профильный лагерь "Твое призвание" с дневным пребыванием детей в период летних каникул при МАУДО "ДДТ" Княжпогостского района работает 15 рабочих дней.</t>
  </si>
  <si>
    <t>Приложение №7</t>
  </si>
  <si>
    <t>Организация работы профильной патриотической смены с дневным пребыванием детей "Мы-патриоты!"</t>
  </si>
  <si>
    <t xml:space="preserve">91,0 р/д * 5 раб. дней        </t>
  </si>
  <si>
    <t>МАУДО "ДДТ" Княжпогостского района (питание организовано на базе МБОУ "СОШ №1" г. Емвы)</t>
  </si>
  <si>
    <t>1. Профильная смена "Мы-патриоты!" с дневным пребыванием детей при МАУДО "ДДТ" Княжпогостского района работает 5 рабочих дней.</t>
  </si>
  <si>
    <t>2.  Профильная смена "Ма-патриоты!" будет работать с 1 ноября по 7 ноября 2017 года. Торжественное открытие лагеря состоится 1 ноября 2017 года в 10.00 ч.</t>
  </si>
  <si>
    <t>3. Закрытие смены состоится 7 ноября 2017 года в 14.00 ч. Выходные дни 4,5 ноября 2017 года</t>
  </si>
  <si>
    <t xml:space="preserve"> Оздоровительный лагерь с дневным пребыванием детей при образовательных организациях района в период осенних каникул</t>
  </si>
  <si>
    <t>от 4 апреля 2017 года №116</t>
  </si>
  <si>
    <t>Приложение №9</t>
  </si>
  <si>
    <t>3. Вторая смена будет работать с 23 июня по 14 июля. Открытие смены состоится 23 июня в 10.00 ч.</t>
  </si>
  <si>
    <t>4. Закрытие 2 смены 14 июля в 14.00 ч. Выходные дни - 24 и 25 июня и 1,2,8,9 июля 2017 года.</t>
  </si>
  <si>
    <t>2 смена (июнь-июль),         91 р/д * 16 раб. дней</t>
  </si>
  <si>
    <t>3. Закрытие смены состоится 14 июля 2017 года в 14.00 ч. Выходные дни 1,2,8,9,15,16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</si>
</sst>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4" fontId="2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0" xfId="0" applyFont="1" applyAlignment="1">
      <alignment horizontal="right"/>
    </xf>
    <xf numFmtId="0" fontId="2" fillId="0" borderId="0" xfId="0" applyFont="1" applyFill="1"/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1" fontId="2" fillId="0" borderId="1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9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 vertical="center" textRotation="90" wrapText="1"/>
    </xf>
    <xf numFmtId="165" fontId="2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43" fontId="2" fillId="0" borderId="0" xfId="1" applyFont="1" applyFill="1" applyAlignment="1">
      <alignment horizontal="right" vertical="center" wrapText="1"/>
    </xf>
    <xf numFmtId="43" fontId="2" fillId="0" borderId="10" xfId="1" applyFont="1" applyFill="1" applyBorder="1" applyAlignment="1">
      <alignment horizontal="center" vertical="center" textRotation="90" wrapText="1"/>
    </xf>
    <xf numFmtId="49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58"/>
  <sheetViews>
    <sheetView topLeftCell="A13" zoomScaleNormal="100" workbookViewId="0">
      <selection activeCell="H31" sqref="H31"/>
    </sheetView>
  </sheetViews>
  <sheetFormatPr defaultColWidth="8.85546875" defaultRowHeight="12.75" x14ac:dyDescent="0.2"/>
  <cols>
    <col min="1" max="1" width="5.140625" style="29" customWidth="1"/>
    <col min="2" max="2" width="40.28515625" style="29" customWidth="1"/>
    <col min="3" max="3" width="8.85546875" style="29" customWidth="1"/>
    <col min="4" max="6" width="8.85546875" style="29"/>
    <col min="7" max="14" width="11.42578125" style="29" customWidth="1"/>
    <col min="15" max="15" width="10" style="29" customWidth="1"/>
    <col min="16" max="18" width="8.85546875" style="29"/>
    <col min="19" max="19" width="12" style="29" customWidth="1"/>
    <col min="20" max="16384" width="8.85546875" style="29"/>
  </cols>
  <sheetData>
    <row r="1" spans="1:19" x14ac:dyDescent="0.2">
      <c r="O1" s="122" t="s">
        <v>24</v>
      </c>
      <c r="P1" s="122"/>
      <c r="Q1" s="122"/>
      <c r="R1" s="122"/>
      <c r="S1" s="122"/>
    </row>
    <row r="2" spans="1:19" x14ac:dyDescent="0.2">
      <c r="O2" s="122" t="s">
        <v>25</v>
      </c>
      <c r="P2" s="122"/>
      <c r="Q2" s="122"/>
      <c r="R2" s="122"/>
      <c r="S2" s="122"/>
    </row>
    <row r="3" spans="1:19" x14ac:dyDescent="0.2">
      <c r="O3" s="122" t="s">
        <v>26</v>
      </c>
      <c r="P3" s="122"/>
      <c r="Q3" s="122"/>
      <c r="R3" s="122"/>
      <c r="S3" s="122"/>
    </row>
    <row r="4" spans="1:19" x14ac:dyDescent="0.2">
      <c r="O4" s="122" t="s">
        <v>191</v>
      </c>
      <c r="P4" s="122"/>
      <c r="Q4" s="122"/>
      <c r="R4" s="122"/>
      <c r="S4" s="122"/>
    </row>
    <row r="5" spans="1:19" x14ac:dyDescent="0.2">
      <c r="O5" s="87"/>
      <c r="P5" s="87"/>
      <c r="Q5" s="87"/>
      <c r="R5" s="95"/>
      <c r="S5" s="87"/>
    </row>
    <row r="6" spans="1:19" x14ac:dyDescent="0.2">
      <c r="A6" s="123" t="s">
        <v>21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8" spans="1:19" s="34" customFormat="1" ht="14.45" customHeight="1" x14ac:dyDescent="0.25">
      <c r="A8" s="117" t="s">
        <v>5</v>
      </c>
      <c r="B8" s="120" t="s">
        <v>0</v>
      </c>
      <c r="C8" s="124" t="s">
        <v>1</v>
      </c>
      <c r="D8" s="125"/>
      <c r="E8" s="125"/>
      <c r="F8" s="126"/>
      <c r="G8" s="130" t="s">
        <v>3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20" t="s">
        <v>4</v>
      </c>
    </row>
    <row r="9" spans="1:19" s="34" customFormat="1" x14ac:dyDescent="0.25">
      <c r="A9" s="118"/>
      <c r="B9" s="120"/>
      <c r="C9" s="127"/>
      <c r="D9" s="128"/>
      <c r="E9" s="128"/>
      <c r="F9" s="129"/>
      <c r="G9" s="130" t="s">
        <v>7</v>
      </c>
      <c r="H9" s="131"/>
      <c r="I9" s="131"/>
      <c r="J9" s="132"/>
      <c r="K9" s="130" t="s">
        <v>6</v>
      </c>
      <c r="L9" s="131"/>
      <c r="M9" s="131"/>
      <c r="N9" s="132"/>
      <c r="O9" s="130" t="s">
        <v>63</v>
      </c>
      <c r="P9" s="131"/>
      <c r="Q9" s="131"/>
      <c r="R9" s="132"/>
      <c r="S9" s="120"/>
    </row>
    <row r="10" spans="1:19" s="34" customFormat="1" ht="63.75" x14ac:dyDescent="0.25">
      <c r="A10" s="119"/>
      <c r="B10" s="120"/>
      <c r="C10" s="86" t="s">
        <v>2</v>
      </c>
      <c r="D10" s="86" t="s">
        <v>142</v>
      </c>
      <c r="E10" s="86" t="s">
        <v>143</v>
      </c>
      <c r="F10" s="96" t="s">
        <v>144</v>
      </c>
      <c r="G10" s="86" t="s">
        <v>35</v>
      </c>
      <c r="H10" s="86" t="s">
        <v>195</v>
      </c>
      <c r="I10" s="86" t="s">
        <v>154</v>
      </c>
      <c r="J10" s="96" t="s">
        <v>155</v>
      </c>
      <c r="K10" s="96" t="s">
        <v>35</v>
      </c>
      <c r="L10" s="96" t="s">
        <v>195</v>
      </c>
      <c r="M10" s="96" t="s">
        <v>154</v>
      </c>
      <c r="N10" s="96" t="s">
        <v>155</v>
      </c>
      <c r="O10" s="96" t="s">
        <v>2</v>
      </c>
      <c r="P10" s="96" t="s">
        <v>142</v>
      </c>
      <c r="Q10" s="96" t="s">
        <v>143</v>
      </c>
      <c r="R10" s="96" t="s">
        <v>144</v>
      </c>
      <c r="S10" s="120"/>
    </row>
    <row r="11" spans="1:19" x14ac:dyDescent="0.2">
      <c r="A11" s="35">
        <v>1</v>
      </c>
      <c r="B11" s="36" t="s">
        <v>22</v>
      </c>
      <c r="C11" s="86">
        <v>40</v>
      </c>
      <c r="D11" s="86">
        <v>40</v>
      </c>
      <c r="E11" s="86">
        <v>40</v>
      </c>
      <c r="F11" s="96">
        <v>40</v>
      </c>
      <c r="G11" s="30">
        <f>C11*91*14</f>
        <v>50960</v>
      </c>
      <c r="H11" s="30">
        <f>D11*91*15</f>
        <v>54600</v>
      </c>
      <c r="I11" s="30">
        <f>E11*91*15</f>
        <v>54600</v>
      </c>
      <c r="J11" s="30">
        <f>F11*91*14</f>
        <v>50960</v>
      </c>
      <c r="K11" s="30"/>
      <c r="L11" s="30"/>
      <c r="M11" s="30"/>
      <c r="N11" s="30"/>
      <c r="O11" s="30">
        <f>C11*300</f>
        <v>12000</v>
      </c>
      <c r="P11" s="30">
        <f t="shared" ref="P11:R11" si="0">D11*300</f>
        <v>12000</v>
      </c>
      <c r="Q11" s="30">
        <f t="shared" si="0"/>
        <v>12000</v>
      </c>
      <c r="R11" s="30">
        <f t="shared" si="0"/>
        <v>12000</v>
      </c>
      <c r="S11" s="30">
        <f>G11+H11+I11+K11+L11+M11+O11+P11+Q11+J11+N11+R11</f>
        <v>259120</v>
      </c>
    </row>
    <row r="12" spans="1:19" x14ac:dyDescent="0.2">
      <c r="A12" s="35">
        <v>2</v>
      </c>
      <c r="B12" s="37" t="s">
        <v>8</v>
      </c>
      <c r="C12" s="38">
        <f>C13+C14</f>
        <v>40</v>
      </c>
      <c r="D12" s="38">
        <f t="shared" ref="D12:F12" si="1">D13+D14</f>
        <v>30</v>
      </c>
      <c r="E12" s="38">
        <f t="shared" si="1"/>
        <v>30</v>
      </c>
      <c r="F12" s="38">
        <f t="shared" si="1"/>
        <v>30</v>
      </c>
      <c r="G12" s="31">
        <f>G13+G14</f>
        <v>50960</v>
      </c>
      <c r="H12" s="31">
        <f t="shared" ref="H12:J12" si="2">H13+H14</f>
        <v>40950</v>
      </c>
      <c r="I12" s="31">
        <f t="shared" si="2"/>
        <v>40950</v>
      </c>
      <c r="J12" s="31">
        <f t="shared" si="2"/>
        <v>38220</v>
      </c>
      <c r="K12" s="31">
        <f>K13+K14</f>
        <v>0</v>
      </c>
      <c r="L12" s="31">
        <f t="shared" ref="L12:N12" si="3">L13+L14</f>
        <v>0</v>
      </c>
      <c r="M12" s="31">
        <f t="shared" si="3"/>
        <v>0</v>
      </c>
      <c r="N12" s="31">
        <f t="shared" si="3"/>
        <v>0</v>
      </c>
      <c r="O12" s="31">
        <f>O13+O14</f>
        <v>12000</v>
      </c>
      <c r="P12" s="31">
        <f t="shared" ref="P12:Q12" si="4">P13+P14</f>
        <v>9000</v>
      </c>
      <c r="Q12" s="31">
        <f t="shared" si="4"/>
        <v>9000</v>
      </c>
      <c r="R12" s="31">
        <f>R13+R14</f>
        <v>9000</v>
      </c>
      <c r="S12" s="30">
        <f>G12+H12+I12+K12+L12+M12+O12+P12+Q12+J12+N12+R12</f>
        <v>210080</v>
      </c>
    </row>
    <row r="13" spans="1:19" s="42" customFormat="1" ht="12" x14ac:dyDescent="0.2">
      <c r="A13" s="39"/>
      <c r="B13" s="40" t="s">
        <v>9</v>
      </c>
      <c r="C13" s="41">
        <v>30</v>
      </c>
      <c r="D13" s="41">
        <v>30</v>
      </c>
      <c r="E13" s="41">
        <v>30</v>
      </c>
      <c r="F13" s="41">
        <v>30</v>
      </c>
      <c r="G13" s="106">
        <f>C13*91*14</f>
        <v>38220</v>
      </c>
      <c r="H13" s="106">
        <f>D13*91*15</f>
        <v>40950</v>
      </c>
      <c r="I13" s="106">
        <f>E13*91*15</f>
        <v>40950</v>
      </c>
      <c r="J13" s="106">
        <f>F13*91*14</f>
        <v>38220</v>
      </c>
      <c r="K13" s="106"/>
      <c r="L13" s="106"/>
      <c r="M13" s="106"/>
      <c r="N13" s="106"/>
      <c r="O13" s="106">
        <f>C13*300</f>
        <v>9000</v>
      </c>
      <c r="P13" s="106">
        <f t="shared" ref="P13" si="5">D13*300</f>
        <v>9000</v>
      </c>
      <c r="Q13" s="106">
        <f t="shared" ref="Q13" si="6">E13*300</f>
        <v>9000</v>
      </c>
      <c r="R13" s="106">
        <f t="shared" ref="R13" si="7">F13*300</f>
        <v>9000</v>
      </c>
      <c r="S13" s="32"/>
    </row>
    <row r="14" spans="1:19" s="42" customFormat="1" ht="12" x14ac:dyDescent="0.2">
      <c r="A14" s="39"/>
      <c r="B14" s="40" t="s">
        <v>10</v>
      </c>
      <c r="C14" s="41">
        <v>10</v>
      </c>
      <c r="D14" s="41"/>
      <c r="E14" s="41"/>
      <c r="F14" s="41"/>
      <c r="G14" s="106">
        <f>C14*91*14</f>
        <v>12740</v>
      </c>
      <c r="H14" s="32"/>
      <c r="I14" s="32"/>
      <c r="J14" s="32"/>
      <c r="K14" s="106"/>
      <c r="L14" s="32"/>
      <c r="M14" s="32"/>
      <c r="N14" s="32"/>
      <c r="O14" s="106">
        <f>C14*300</f>
        <v>3000</v>
      </c>
      <c r="P14" s="106"/>
      <c r="Q14" s="106"/>
      <c r="R14" s="106"/>
      <c r="S14" s="32"/>
    </row>
    <row r="15" spans="1:19" x14ac:dyDescent="0.2">
      <c r="A15" s="35">
        <v>3</v>
      </c>
      <c r="B15" s="37" t="s">
        <v>11</v>
      </c>
      <c r="C15" s="38">
        <v>30</v>
      </c>
      <c r="D15" s="38">
        <v>20</v>
      </c>
      <c r="E15" s="38"/>
      <c r="F15" s="38"/>
      <c r="G15" s="31"/>
      <c r="H15" s="31">
        <f>D15*91</f>
        <v>1820</v>
      </c>
      <c r="I15" s="31"/>
      <c r="J15" s="31"/>
      <c r="K15" s="30">
        <f>C15*91*14</f>
        <v>38220</v>
      </c>
      <c r="L15" s="30">
        <f>D15*91*15</f>
        <v>27300</v>
      </c>
      <c r="M15" s="31"/>
      <c r="N15" s="31"/>
      <c r="O15" s="30">
        <f>C15*300</f>
        <v>9000</v>
      </c>
      <c r="P15" s="30">
        <f t="shared" ref="P15" si="8">D15*300</f>
        <v>6000</v>
      </c>
      <c r="Q15" s="30"/>
      <c r="R15" s="30"/>
      <c r="S15" s="30">
        <f>G15+H15+I15+K15+L15+M15+O15+P15+Q15+J15+N15+R15</f>
        <v>82340</v>
      </c>
    </row>
    <row r="16" spans="1:19" x14ac:dyDescent="0.2">
      <c r="A16" s="35">
        <v>4</v>
      </c>
      <c r="B16" s="37" t="s">
        <v>12</v>
      </c>
      <c r="C16" s="38">
        <f>C17+C18</f>
        <v>30</v>
      </c>
      <c r="D16" s="38">
        <f t="shared" ref="D16:F16" si="9">D17+D18</f>
        <v>30</v>
      </c>
      <c r="E16" s="38">
        <f t="shared" si="9"/>
        <v>0</v>
      </c>
      <c r="F16" s="38">
        <f t="shared" si="9"/>
        <v>0</v>
      </c>
      <c r="G16" s="31"/>
      <c r="H16" s="31">
        <f>H17+H18</f>
        <v>2730</v>
      </c>
      <c r="I16" s="31"/>
      <c r="J16" s="31"/>
      <c r="K16" s="30">
        <f>K17+K18</f>
        <v>38220</v>
      </c>
      <c r="L16" s="30">
        <f>L17+L18</f>
        <v>40950</v>
      </c>
      <c r="M16" s="31"/>
      <c r="N16" s="31"/>
      <c r="O16" s="31">
        <f>O17+O18</f>
        <v>9000</v>
      </c>
      <c r="P16" s="31">
        <f t="shared" ref="P16" si="10">P17+P18</f>
        <v>9000</v>
      </c>
      <c r="Q16" s="31">
        <f t="shared" ref="Q16" si="11">Q17+Q18</f>
        <v>0</v>
      </c>
      <c r="R16" s="31">
        <f>R17+R18</f>
        <v>0</v>
      </c>
      <c r="S16" s="30">
        <f>G16+H16+I16+K16+L16+M16+O16+P16+Q16+J16+N16+R16</f>
        <v>99900</v>
      </c>
    </row>
    <row r="17" spans="1:19" s="42" customFormat="1" ht="12" x14ac:dyDescent="0.2">
      <c r="A17" s="39"/>
      <c r="B17" s="40" t="s">
        <v>13</v>
      </c>
      <c r="C17" s="41">
        <v>22</v>
      </c>
      <c r="D17" s="41">
        <v>30</v>
      </c>
      <c r="E17" s="41"/>
      <c r="F17" s="41"/>
      <c r="G17" s="32"/>
      <c r="H17" s="32">
        <f>D17*91</f>
        <v>2730</v>
      </c>
      <c r="I17" s="32"/>
      <c r="J17" s="32"/>
      <c r="K17" s="106">
        <f t="shared" ref="K17:K25" si="12">C17*91*14</f>
        <v>28028</v>
      </c>
      <c r="L17" s="106">
        <f t="shared" ref="L17" si="13">D17*91*15</f>
        <v>40950</v>
      </c>
      <c r="M17" s="32"/>
      <c r="N17" s="32"/>
      <c r="O17" s="106">
        <f t="shared" ref="O17:O18" si="14">C17*300</f>
        <v>6600</v>
      </c>
      <c r="P17" s="106">
        <f t="shared" ref="P17" si="15">D17*300</f>
        <v>9000</v>
      </c>
      <c r="Q17" s="106"/>
      <c r="R17" s="106"/>
      <c r="S17" s="32"/>
    </row>
    <row r="18" spans="1:19" s="42" customFormat="1" ht="12" x14ac:dyDescent="0.2">
      <c r="A18" s="39"/>
      <c r="B18" s="40" t="s">
        <v>14</v>
      </c>
      <c r="C18" s="41">
        <v>8</v>
      </c>
      <c r="D18" s="41"/>
      <c r="E18" s="41"/>
      <c r="F18" s="41"/>
      <c r="G18" s="32"/>
      <c r="H18" s="32"/>
      <c r="I18" s="32"/>
      <c r="J18" s="32"/>
      <c r="K18" s="106">
        <f t="shared" si="12"/>
        <v>10192</v>
      </c>
      <c r="L18" s="106"/>
      <c r="M18" s="32"/>
      <c r="N18" s="32"/>
      <c r="O18" s="106">
        <f t="shared" si="14"/>
        <v>2400</v>
      </c>
      <c r="P18" s="106"/>
      <c r="Q18" s="106"/>
      <c r="R18" s="106"/>
      <c r="S18" s="32"/>
    </row>
    <row r="19" spans="1:19" x14ac:dyDescent="0.2">
      <c r="A19" s="35">
        <v>5</v>
      </c>
      <c r="B19" s="37" t="s">
        <v>15</v>
      </c>
      <c r="C19" s="38">
        <f>C20+C21</f>
        <v>25</v>
      </c>
      <c r="D19" s="38">
        <f t="shared" ref="D19:F19" si="16">D20+D21</f>
        <v>0</v>
      </c>
      <c r="E19" s="38">
        <f t="shared" si="16"/>
        <v>0</v>
      </c>
      <c r="F19" s="38">
        <f t="shared" si="16"/>
        <v>0</v>
      </c>
      <c r="G19" s="31"/>
      <c r="H19" s="31"/>
      <c r="I19" s="31"/>
      <c r="J19" s="31"/>
      <c r="K19" s="30">
        <f>K20+K21</f>
        <v>31850</v>
      </c>
      <c r="L19" s="31"/>
      <c r="M19" s="31"/>
      <c r="N19" s="31"/>
      <c r="O19" s="31">
        <f>O20+O21</f>
        <v>7500</v>
      </c>
      <c r="P19" s="31">
        <f t="shared" ref="P19" si="17">P20+P21</f>
        <v>0</v>
      </c>
      <c r="Q19" s="31">
        <f t="shared" ref="Q19" si="18">Q20+Q21</f>
        <v>0</v>
      </c>
      <c r="R19" s="31">
        <f>R20+R21</f>
        <v>0</v>
      </c>
      <c r="S19" s="30">
        <f>G19+H19+I19+K19+L19+M19+O19+P19+Q19+J19+N19+R19</f>
        <v>39350</v>
      </c>
    </row>
    <row r="20" spans="1:19" s="42" customFormat="1" ht="12" x14ac:dyDescent="0.2">
      <c r="A20" s="39"/>
      <c r="B20" s="40" t="s">
        <v>16</v>
      </c>
      <c r="C20" s="41">
        <v>20</v>
      </c>
      <c r="D20" s="41"/>
      <c r="E20" s="41"/>
      <c r="F20" s="41"/>
      <c r="G20" s="32"/>
      <c r="H20" s="32"/>
      <c r="I20" s="32"/>
      <c r="J20" s="32"/>
      <c r="K20" s="106">
        <f t="shared" si="12"/>
        <v>25480</v>
      </c>
      <c r="L20" s="32"/>
      <c r="M20" s="32"/>
      <c r="N20" s="32"/>
      <c r="O20" s="106">
        <f t="shared" ref="O20:O21" si="19">C20*300</f>
        <v>6000</v>
      </c>
      <c r="P20" s="106"/>
      <c r="Q20" s="106"/>
      <c r="R20" s="106"/>
      <c r="S20" s="32"/>
    </row>
    <row r="21" spans="1:19" s="42" customFormat="1" ht="12" x14ac:dyDescent="0.2">
      <c r="A21" s="39"/>
      <c r="B21" s="40" t="s">
        <v>17</v>
      </c>
      <c r="C21" s="41">
        <v>5</v>
      </c>
      <c r="D21" s="41"/>
      <c r="E21" s="41"/>
      <c r="F21" s="41"/>
      <c r="G21" s="32"/>
      <c r="H21" s="32"/>
      <c r="I21" s="32"/>
      <c r="J21" s="32"/>
      <c r="K21" s="106">
        <f t="shared" si="12"/>
        <v>6370</v>
      </c>
      <c r="L21" s="32"/>
      <c r="M21" s="32"/>
      <c r="N21" s="32"/>
      <c r="O21" s="106">
        <f t="shared" si="19"/>
        <v>1500</v>
      </c>
      <c r="P21" s="106"/>
      <c r="Q21" s="106"/>
      <c r="R21" s="106"/>
      <c r="S21" s="32"/>
    </row>
    <row r="22" spans="1:19" x14ac:dyDescent="0.2">
      <c r="A22" s="35">
        <v>6</v>
      </c>
      <c r="B22" s="37" t="s">
        <v>18</v>
      </c>
      <c r="C22" s="38">
        <f>C23+C24+C25</f>
        <v>25</v>
      </c>
      <c r="D22" s="38">
        <f t="shared" ref="D22:F22" si="20">D23+D24+D25</f>
        <v>0</v>
      </c>
      <c r="E22" s="38">
        <f t="shared" si="20"/>
        <v>0</v>
      </c>
      <c r="F22" s="38">
        <f t="shared" si="20"/>
        <v>0</v>
      </c>
      <c r="G22" s="31"/>
      <c r="H22" s="31"/>
      <c r="I22" s="31"/>
      <c r="J22" s="31"/>
      <c r="K22" s="30">
        <f>K23+K24+K25</f>
        <v>31850</v>
      </c>
      <c r="L22" s="31"/>
      <c r="M22" s="31"/>
      <c r="N22" s="31"/>
      <c r="O22" s="31">
        <f>O23+O24+O25</f>
        <v>7500</v>
      </c>
      <c r="P22" s="31">
        <f t="shared" ref="P22:Q22" si="21">P23+P24+P25</f>
        <v>0</v>
      </c>
      <c r="Q22" s="31">
        <f t="shared" si="21"/>
        <v>0</v>
      </c>
      <c r="R22" s="31">
        <f>R23+R24+R25</f>
        <v>0</v>
      </c>
      <c r="S22" s="30">
        <f>G22+H22+I22+K22+L22+M22+O22+P22+Q22+J22+N22+R22</f>
        <v>39350</v>
      </c>
    </row>
    <row r="23" spans="1:19" s="42" customFormat="1" ht="12" x14ac:dyDescent="0.2">
      <c r="A23" s="39"/>
      <c r="B23" s="40" t="s">
        <v>59</v>
      </c>
      <c r="C23" s="41">
        <v>15</v>
      </c>
      <c r="D23" s="41"/>
      <c r="E23" s="41"/>
      <c r="F23" s="41"/>
      <c r="G23" s="32"/>
      <c r="H23" s="32"/>
      <c r="I23" s="32"/>
      <c r="J23" s="32"/>
      <c r="K23" s="106">
        <f t="shared" si="12"/>
        <v>19110</v>
      </c>
      <c r="L23" s="32"/>
      <c r="M23" s="32"/>
      <c r="N23" s="32"/>
      <c r="O23" s="106">
        <f t="shared" ref="O23:O25" si="22">C23*300</f>
        <v>4500</v>
      </c>
      <c r="P23" s="106"/>
      <c r="Q23" s="106"/>
      <c r="R23" s="106"/>
      <c r="S23" s="32"/>
    </row>
    <row r="24" spans="1:19" s="42" customFormat="1" ht="12" x14ac:dyDescent="0.2">
      <c r="A24" s="39"/>
      <c r="B24" s="40" t="s">
        <v>60</v>
      </c>
      <c r="C24" s="41">
        <v>5</v>
      </c>
      <c r="D24" s="41"/>
      <c r="E24" s="41"/>
      <c r="F24" s="41"/>
      <c r="G24" s="32"/>
      <c r="H24" s="32"/>
      <c r="I24" s="32"/>
      <c r="J24" s="32"/>
      <c r="K24" s="106">
        <f t="shared" si="12"/>
        <v>6370</v>
      </c>
      <c r="L24" s="32"/>
      <c r="M24" s="32"/>
      <c r="N24" s="32"/>
      <c r="O24" s="106">
        <f t="shared" si="22"/>
        <v>1500</v>
      </c>
      <c r="P24" s="106"/>
      <c r="Q24" s="106"/>
      <c r="R24" s="106"/>
      <c r="S24" s="32"/>
    </row>
    <row r="25" spans="1:19" s="42" customFormat="1" ht="12" x14ac:dyDescent="0.2">
      <c r="A25" s="39"/>
      <c r="B25" s="40" t="s">
        <v>145</v>
      </c>
      <c r="C25" s="41">
        <v>5</v>
      </c>
      <c r="D25" s="41"/>
      <c r="E25" s="41"/>
      <c r="F25" s="41"/>
      <c r="G25" s="32"/>
      <c r="H25" s="32"/>
      <c r="I25" s="32"/>
      <c r="J25" s="32"/>
      <c r="K25" s="106">
        <f t="shared" si="12"/>
        <v>6370</v>
      </c>
      <c r="L25" s="32"/>
      <c r="M25" s="32"/>
      <c r="N25" s="32"/>
      <c r="O25" s="106">
        <f t="shared" si="22"/>
        <v>1500</v>
      </c>
      <c r="P25" s="106"/>
      <c r="Q25" s="106"/>
      <c r="R25" s="106"/>
      <c r="S25" s="106"/>
    </row>
    <row r="26" spans="1:19" x14ac:dyDescent="0.2">
      <c r="A26" s="35">
        <v>7</v>
      </c>
      <c r="B26" s="37" t="s">
        <v>19</v>
      </c>
      <c r="C26" s="38">
        <v>20</v>
      </c>
      <c r="D26" s="38">
        <v>20</v>
      </c>
      <c r="E26" s="38"/>
      <c r="F26" s="38"/>
      <c r="G26" s="31"/>
      <c r="H26" s="31">
        <f>D26*91</f>
        <v>1820</v>
      </c>
      <c r="I26" s="31"/>
      <c r="J26" s="31"/>
      <c r="K26" s="30">
        <f>C26*91*14</f>
        <v>25480</v>
      </c>
      <c r="L26" s="30">
        <f>D26*91*15</f>
        <v>27300</v>
      </c>
      <c r="M26" s="31"/>
      <c r="N26" s="31"/>
      <c r="O26" s="30">
        <f>C26*300</f>
        <v>6000</v>
      </c>
      <c r="P26" s="30">
        <f t="shared" ref="P26:P30" si="23">D26*300</f>
        <v>6000</v>
      </c>
      <c r="Q26" s="30"/>
      <c r="R26" s="30"/>
      <c r="S26" s="30">
        <f t="shared" ref="S26:S30" si="24">G26+H26+I26+K26+L26+M26+O26+P26+Q26+J26+N26+R26</f>
        <v>66600</v>
      </c>
    </row>
    <row r="27" spans="1:19" x14ac:dyDescent="0.2">
      <c r="A27" s="35">
        <v>8</v>
      </c>
      <c r="B27" s="37" t="s">
        <v>20</v>
      </c>
      <c r="C27" s="38">
        <v>10</v>
      </c>
      <c r="D27" s="38"/>
      <c r="E27" s="38"/>
      <c r="F27" s="38"/>
      <c r="G27" s="31"/>
      <c r="H27" s="31"/>
      <c r="I27" s="31"/>
      <c r="J27" s="31"/>
      <c r="K27" s="30">
        <f>C27*91*14</f>
        <v>12740</v>
      </c>
      <c r="L27" s="31"/>
      <c r="M27" s="31"/>
      <c r="N27" s="31"/>
      <c r="O27" s="30">
        <f>C27*300</f>
        <v>3000</v>
      </c>
      <c r="P27" s="30"/>
      <c r="Q27" s="30"/>
      <c r="R27" s="30"/>
      <c r="S27" s="30">
        <f t="shared" si="24"/>
        <v>15740</v>
      </c>
    </row>
    <row r="28" spans="1:19" ht="53.45" customHeight="1" x14ac:dyDescent="0.2">
      <c r="A28" s="35">
        <v>9</v>
      </c>
      <c r="B28" s="36" t="s">
        <v>152</v>
      </c>
      <c r="C28" s="35">
        <v>60</v>
      </c>
      <c r="D28" s="35">
        <v>60</v>
      </c>
      <c r="E28" s="35">
        <v>60</v>
      </c>
      <c r="F28" s="35">
        <v>50</v>
      </c>
      <c r="G28" s="30"/>
      <c r="H28" s="30">
        <f>D28*91</f>
        <v>5460</v>
      </c>
      <c r="I28" s="30"/>
      <c r="J28" s="30">
        <v>4365</v>
      </c>
      <c r="K28" s="30">
        <f>C28*91*14</f>
        <v>76440</v>
      </c>
      <c r="L28" s="30">
        <f>D28*91*15</f>
        <v>81900</v>
      </c>
      <c r="M28" s="30">
        <f>E28*91*15</f>
        <v>81900</v>
      </c>
      <c r="N28" s="30">
        <f>F28*14*91-4365</f>
        <v>59335</v>
      </c>
      <c r="O28" s="30">
        <f>C28*300</f>
        <v>18000</v>
      </c>
      <c r="P28" s="30">
        <f t="shared" si="23"/>
        <v>18000</v>
      </c>
      <c r="Q28" s="30">
        <f t="shared" ref="Q28" si="25">E28*300</f>
        <v>18000</v>
      </c>
      <c r="R28" s="30">
        <f t="shared" ref="R28" si="26">F28*300</f>
        <v>15000</v>
      </c>
      <c r="S28" s="30">
        <f t="shared" si="24"/>
        <v>378400</v>
      </c>
    </row>
    <row r="29" spans="1:19" ht="26.45" customHeight="1" x14ac:dyDescent="0.2">
      <c r="A29" s="35">
        <v>10</v>
      </c>
      <c r="B29" s="66" t="s">
        <v>146</v>
      </c>
      <c r="C29" s="35">
        <v>30</v>
      </c>
      <c r="D29" s="35"/>
      <c r="E29" s="35"/>
      <c r="F29" s="35"/>
      <c r="G29" s="65"/>
      <c r="H29" s="65"/>
      <c r="I29" s="65"/>
      <c r="J29" s="65"/>
      <c r="K29" s="30">
        <f t="shared" ref="K29" si="27">C29*91*14</f>
        <v>38220</v>
      </c>
      <c r="L29" s="65"/>
      <c r="M29" s="65"/>
      <c r="N29" s="65"/>
      <c r="O29" s="30">
        <f t="shared" ref="O29" si="28">C29*300</f>
        <v>9000</v>
      </c>
      <c r="P29" s="30"/>
      <c r="Q29" s="30"/>
      <c r="R29" s="30"/>
      <c r="S29" s="30">
        <f t="shared" si="24"/>
        <v>47220</v>
      </c>
    </row>
    <row r="30" spans="1:19" ht="38.25" x14ac:dyDescent="0.2">
      <c r="A30" s="35">
        <v>11</v>
      </c>
      <c r="B30" s="66" t="s">
        <v>153</v>
      </c>
      <c r="C30" s="35">
        <f>30+25</f>
        <v>55</v>
      </c>
      <c r="D30" s="35">
        <v>25</v>
      </c>
      <c r="E30" s="35"/>
      <c r="F30" s="35"/>
      <c r="G30" s="65"/>
      <c r="H30" s="65">
        <f>D30*91</f>
        <v>2275</v>
      </c>
      <c r="I30" s="65"/>
      <c r="J30" s="65"/>
      <c r="K30" s="30">
        <f>C30*91*14</f>
        <v>70070</v>
      </c>
      <c r="L30" s="30">
        <f>D30*91*15</f>
        <v>34125</v>
      </c>
      <c r="M30" s="65"/>
      <c r="N30" s="65"/>
      <c r="O30" s="30">
        <f>C30*300</f>
        <v>16500</v>
      </c>
      <c r="P30" s="30">
        <f t="shared" si="23"/>
        <v>7500</v>
      </c>
      <c r="Q30" s="30"/>
      <c r="R30" s="30"/>
      <c r="S30" s="30">
        <f t="shared" si="24"/>
        <v>130470</v>
      </c>
    </row>
    <row r="31" spans="1:19" x14ac:dyDescent="0.2">
      <c r="A31" s="44"/>
      <c r="B31" s="45" t="s">
        <v>4</v>
      </c>
      <c r="C31" s="46">
        <f>C11+C12+C15+C16+C19+C22+C26+C27+C28+C29+C30</f>
        <v>365</v>
      </c>
      <c r="D31" s="46">
        <f t="shared" ref="D31:F31" si="29">D11+D12+D15+D16+D19+D22+D26+D27+D28+D29+D30</f>
        <v>225</v>
      </c>
      <c r="E31" s="46">
        <f t="shared" si="29"/>
        <v>130</v>
      </c>
      <c r="F31" s="46">
        <f t="shared" si="29"/>
        <v>120</v>
      </c>
      <c r="G31" s="33">
        <f>G11+G12+G15+G16+G19+G22+G26+G27+G28+G29+G30</f>
        <v>101920</v>
      </c>
      <c r="H31" s="33">
        <f t="shared" ref="H31:S31" si="30">H11+H12+H15+H16+H19+H22+H26+H27+H28+H29+H30</f>
        <v>109655</v>
      </c>
      <c r="I31" s="33">
        <f t="shared" si="30"/>
        <v>95550</v>
      </c>
      <c r="J31" s="33">
        <f t="shared" si="30"/>
        <v>93545</v>
      </c>
      <c r="K31" s="33">
        <f t="shared" si="30"/>
        <v>363090</v>
      </c>
      <c r="L31" s="33">
        <f t="shared" si="30"/>
        <v>211575</v>
      </c>
      <c r="M31" s="33">
        <f t="shared" si="30"/>
        <v>81900</v>
      </c>
      <c r="N31" s="33">
        <f t="shared" si="30"/>
        <v>59335</v>
      </c>
      <c r="O31" s="33">
        <f>O11+O12+O15+O16+O19+O22+O26+O27+O28+O29+O30</f>
        <v>109500</v>
      </c>
      <c r="P31" s="33">
        <f t="shared" si="30"/>
        <v>67500</v>
      </c>
      <c r="Q31" s="33">
        <f t="shared" si="30"/>
        <v>39000</v>
      </c>
      <c r="R31" s="33">
        <f t="shared" si="30"/>
        <v>36000</v>
      </c>
      <c r="S31" s="33">
        <f t="shared" si="30"/>
        <v>1368570</v>
      </c>
    </row>
    <row r="33" spans="1:19" ht="14.45" customHeight="1" x14ac:dyDescent="0.2">
      <c r="A33" s="88" t="s">
        <v>29</v>
      </c>
      <c r="B33" s="88"/>
      <c r="C33" s="88"/>
      <c r="D33" s="88"/>
      <c r="E33" s="88"/>
      <c r="F33" s="98"/>
      <c r="G33" s="88"/>
      <c r="H33" s="88"/>
      <c r="I33" s="88"/>
      <c r="J33" s="98"/>
      <c r="K33" s="88"/>
      <c r="L33" s="88"/>
      <c r="M33" s="88"/>
      <c r="N33" s="98"/>
      <c r="O33" s="88"/>
      <c r="P33" s="88"/>
      <c r="Q33" s="88"/>
      <c r="R33" s="98"/>
      <c r="S33" s="88"/>
    </row>
    <row r="34" spans="1:19" ht="12.75" customHeight="1" x14ac:dyDescent="0.25">
      <c r="A34" s="113" t="s">
        <v>147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89"/>
      <c r="Q34" s="89"/>
      <c r="R34" s="97"/>
      <c r="S34" s="89"/>
    </row>
    <row r="35" spans="1:19" ht="15" x14ac:dyDescent="0.25">
      <c r="A35" s="112" t="s">
        <v>148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01"/>
      <c r="O35" s="89"/>
      <c r="P35" s="89"/>
      <c r="Q35" s="89"/>
      <c r="R35" s="97"/>
      <c r="S35" s="89"/>
    </row>
    <row r="36" spans="1:19" ht="15" x14ac:dyDescent="0.25">
      <c r="A36" s="112" t="s">
        <v>193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01"/>
      <c r="O36" s="91"/>
      <c r="P36" s="88"/>
      <c r="Q36" s="88"/>
      <c r="R36" s="98"/>
      <c r="S36" s="90"/>
    </row>
    <row r="37" spans="1:19" ht="12.75" customHeight="1" x14ac:dyDescent="0.2">
      <c r="A37" s="112" t="s">
        <v>194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97"/>
      <c r="O37" s="89"/>
      <c r="P37" s="89"/>
      <c r="Q37" s="89"/>
      <c r="R37" s="97"/>
      <c r="S37" s="89"/>
    </row>
    <row r="38" spans="1:19" ht="12.75" customHeight="1" x14ac:dyDescent="0.25">
      <c r="A38" s="113" t="s">
        <v>149</v>
      </c>
      <c r="B38" s="114"/>
      <c r="C38" s="114"/>
      <c r="D38" s="114"/>
      <c r="E38" s="114"/>
      <c r="F38" s="114"/>
      <c r="G38" s="114"/>
      <c r="H38" s="114"/>
      <c r="I38" s="89"/>
      <c r="J38" s="97"/>
      <c r="K38" s="89"/>
      <c r="L38" s="89"/>
      <c r="M38" s="89"/>
      <c r="N38" s="97"/>
      <c r="O38" s="89"/>
      <c r="P38" s="89"/>
      <c r="Q38" s="89"/>
      <c r="R38" s="97"/>
      <c r="S38" s="91"/>
    </row>
    <row r="39" spans="1:19" ht="15" x14ac:dyDescent="0.25">
      <c r="A39" s="113" t="s">
        <v>151</v>
      </c>
      <c r="B39" s="114"/>
      <c r="C39" s="114"/>
      <c r="D39" s="114"/>
      <c r="E39" s="114"/>
      <c r="F39" s="114"/>
      <c r="G39" s="114"/>
      <c r="H39" s="114"/>
      <c r="I39" s="114"/>
      <c r="J39" s="99"/>
      <c r="K39" s="92"/>
      <c r="L39" s="92"/>
      <c r="M39" s="92"/>
      <c r="N39" s="100"/>
      <c r="O39" s="107"/>
      <c r="P39" s="88"/>
      <c r="Q39" s="88"/>
      <c r="R39" s="98"/>
      <c r="S39" s="88"/>
    </row>
    <row r="40" spans="1:19" ht="15" x14ac:dyDescent="0.25">
      <c r="A40" s="98" t="s">
        <v>150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00"/>
      <c r="M40" s="100"/>
      <c r="N40" s="100"/>
      <c r="O40" s="98"/>
      <c r="P40" s="98"/>
      <c r="Q40" s="98"/>
      <c r="R40" s="98"/>
      <c r="S40" s="98"/>
    </row>
    <row r="41" spans="1:19" ht="15" x14ac:dyDescent="0.25">
      <c r="A41" s="98" t="s">
        <v>156</v>
      </c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100"/>
      <c r="M41" s="100"/>
      <c r="N41" s="100"/>
      <c r="O41" s="98"/>
      <c r="P41" s="98"/>
      <c r="Q41" s="98"/>
      <c r="R41" s="98"/>
      <c r="S41" s="98"/>
    </row>
    <row r="42" spans="1:19" ht="12.75" customHeight="1" x14ac:dyDescent="0.2">
      <c r="A42" s="88" t="s">
        <v>30</v>
      </c>
      <c r="B42" s="88"/>
      <c r="C42" s="92"/>
      <c r="D42" s="92"/>
      <c r="E42" s="92"/>
      <c r="F42" s="100"/>
      <c r="G42" s="92"/>
      <c r="H42" s="92"/>
      <c r="I42" s="92"/>
      <c r="J42" s="100"/>
      <c r="K42" s="92"/>
      <c r="L42" s="92"/>
      <c r="M42" s="92"/>
      <c r="N42" s="100"/>
      <c r="O42" s="88"/>
      <c r="P42" s="88"/>
      <c r="Q42" s="88"/>
      <c r="R42" s="98"/>
      <c r="S42" s="88"/>
    </row>
    <row r="43" spans="1:19" ht="12.75" customHeight="1" x14ac:dyDescent="0.25">
      <c r="A43" s="115" t="s">
        <v>62</v>
      </c>
      <c r="B43" s="116"/>
      <c r="C43" s="116"/>
      <c r="D43" s="116"/>
      <c r="E43" s="116"/>
      <c r="F43" s="116"/>
      <c r="G43" s="116"/>
      <c r="H43" s="116"/>
      <c r="I43" s="93"/>
      <c r="J43" s="93"/>
      <c r="K43" s="88"/>
      <c r="L43" s="88"/>
      <c r="M43" s="88"/>
      <c r="N43" s="98"/>
      <c r="O43" s="88"/>
      <c r="P43" s="88"/>
      <c r="Q43" s="88"/>
      <c r="R43" s="98"/>
      <c r="S43" s="88"/>
    </row>
    <row r="44" spans="1:19" x14ac:dyDescent="0.2">
      <c r="A44" s="88" t="s">
        <v>33</v>
      </c>
      <c r="B44" s="88"/>
      <c r="C44" s="88"/>
      <c r="D44" s="88"/>
      <c r="E44" s="88"/>
      <c r="F44" s="98"/>
      <c r="G44" s="88"/>
      <c r="H44" s="88"/>
      <c r="I44" s="93"/>
      <c r="J44" s="93"/>
      <c r="K44" s="88"/>
      <c r="L44" s="88"/>
      <c r="M44" s="88"/>
      <c r="N44" s="98"/>
      <c r="O44" s="88"/>
      <c r="P44" s="88"/>
      <c r="Q44" s="88"/>
      <c r="R44" s="98"/>
      <c r="S44" s="88"/>
    </row>
    <row r="45" spans="1:19" x14ac:dyDescent="0.2">
      <c r="A45" s="88" t="s">
        <v>133</v>
      </c>
      <c r="B45" s="88"/>
      <c r="C45" s="88"/>
      <c r="D45" s="88"/>
      <c r="E45" s="88"/>
      <c r="F45" s="98"/>
      <c r="G45" s="88"/>
      <c r="H45" s="88"/>
      <c r="I45" s="88"/>
      <c r="J45" s="98"/>
      <c r="K45" s="88"/>
      <c r="L45" s="88"/>
      <c r="M45" s="88"/>
      <c r="N45" s="98"/>
      <c r="O45" s="88"/>
      <c r="P45" s="88"/>
      <c r="Q45" s="88"/>
      <c r="R45" s="98"/>
      <c r="S45" s="88"/>
    </row>
    <row r="46" spans="1:19" x14ac:dyDescent="0.2">
      <c r="A46" s="88" t="s">
        <v>34</v>
      </c>
      <c r="B46" s="88"/>
      <c r="C46" s="88"/>
      <c r="D46" s="88"/>
      <c r="E46" s="88"/>
      <c r="F46" s="98"/>
      <c r="G46" s="88"/>
      <c r="H46" s="88"/>
      <c r="I46" s="88"/>
      <c r="J46" s="98"/>
      <c r="K46" s="88"/>
      <c r="L46" s="88"/>
      <c r="M46" s="88"/>
      <c r="N46" s="98"/>
      <c r="O46" s="88"/>
      <c r="P46" s="88"/>
      <c r="Q46" s="88"/>
      <c r="R46" s="98"/>
      <c r="S46" s="88"/>
    </row>
    <row r="52" spans="2:7" x14ac:dyDescent="0.2">
      <c r="B52" s="42" t="s">
        <v>169</v>
      </c>
      <c r="C52" s="42" t="e">
        <f>C31+D31+E31+F31+'весна, осень'!C30+'весна, осень'!D30+'твое призвание'!C13+'школа мол. актива (дневной)'!C13+#REF!+'слет кадетов (дневной)'!C14</f>
        <v>#REF!</v>
      </c>
    </row>
    <row r="53" spans="2:7" x14ac:dyDescent="0.2">
      <c r="B53" s="42" t="s">
        <v>170</v>
      </c>
      <c r="C53" s="109">
        <f>K31+L31+M31+N31</f>
        <v>715900</v>
      </c>
      <c r="G53" s="43"/>
    </row>
    <row r="54" spans="2:7" x14ac:dyDescent="0.2">
      <c r="B54" s="42" t="s">
        <v>171</v>
      </c>
      <c r="C54" s="109" t="e">
        <f>G31+H31+I31+J31+'весна, осень'!E30+'весна, осень'!F30+'твое призвание'!E13+'школа мол. актива (дневной)'!E13+#REF!+'слет кадетов (дневной)'!E14</f>
        <v>#REF!</v>
      </c>
    </row>
    <row r="55" spans="2:7" x14ac:dyDescent="0.2">
      <c r="G55" s="43"/>
    </row>
    <row r="57" spans="2:7" x14ac:dyDescent="0.2">
      <c r="G57" s="43"/>
    </row>
    <row r="58" spans="2:7" x14ac:dyDescent="0.2">
      <c r="C58" s="43"/>
    </row>
  </sheetData>
  <mergeCells count="20">
    <mergeCell ref="O1:S1"/>
    <mergeCell ref="O2:S2"/>
    <mergeCell ref="O3:S3"/>
    <mergeCell ref="O4:S4"/>
    <mergeCell ref="S8:S10"/>
    <mergeCell ref="A6:S6"/>
    <mergeCell ref="C8:F9"/>
    <mergeCell ref="G9:J9"/>
    <mergeCell ref="K9:N9"/>
    <mergeCell ref="G8:R8"/>
    <mergeCell ref="O9:R9"/>
    <mergeCell ref="A37:M37"/>
    <mergeCell ref="A38:H38"/>
    <mergeCell ref="A39:I39"/>
    <mergeCell ref="A43:H43"/>
    <mergeCell ref="A8:A10"/>
    <mergeCell ref="B8:B10"/>
    <mergeCell ref="A34:O34"/>
    <mergeCell ref="A35:M35"/>
    <mergeCell ref="A36:M3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5"/>
  <sheetViews>
    <sheetView topLeftCell="A10" zoomScaleNormal="100" workbookViewId="0">
      <selection activeCell="K10" sqref="K10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5" width="11.42578125" style="29" customWidth="1"/>
    <col min="6" max="6" width="11.42578125" style="1" customWidth="1"/>
    <col min="7" max="7" width="11.7109375" style="1" customWidth="1"/>
    <col min="8" max="16384" width="8.85546875" style="1"/>
  </cols>
  <sheetData>
    <row r="1" spans="1:7" ht="14.45" customHeight="1" x14ac:dyDescent="0.2">
      <c r="D1" s="122" t="s">
        <v>28</v>
      </c>
      <c r="E1" s="122"/>
      <c r="F1" s="122"/>
      <c r="G1" s="122"/>
    </row>
    <row r="2" spans="1:7" ht="14.45" customHeight="1" x14ac:dyDescent="0.2">
      <c r="D2" s="122" t="s">
        <v>25</v>
      </c>
      <c r="E2" s="122"/>
      <c r="F2" s="122"/>
      <c r="G2" s="122"/>
    </row>
    <row r="3" spans="1:7" ht="14.45" customHeight="1" x14ac:dyDescent="0.2">
      <c r="D3" s="122" t="s">
        <v>26</v>
      </c>
      <c r="E3" s="122"/>
      <c r="F3" s="122"/>
      <c r="G3" s="122"/>
    </row>
    <row r="4" spans="1:7" ht="14.45" customHeight="1" x14ac:dyDescent="0.2">
      <c r="D4" s="122" t="s">
        <v>191</v>
      </c>
      <c r="E4" s="122"/>
      <c r="F4" s="122"/>
      <c r="G4" s="122"/>
    </row>
    <row r="5" spans="1:7" s="23" customFormat="1" ht="14.45" customHeight="1" x14ac:dyDescent="0.2">
      <c r="D5" s="52"/>
      <c r="E5" s="103"/>
      <c r="F5" s="52"/>
      <c r="G5" s="52"/>
    </row>
    <row r="6" spans="1:7" s="23" customFormat="1" ht="26.45" customHeight="1" x14ac:dyDescent="0.2">
      <c r="A6" s="138" t="s">
        <v>27</v>
      </c>
      <c r="B6" s="138"/>
      <c r="C6" s="138"/>
      <c r="D6" s="138"/>
      <c r="E6" s="138"/>
      <c r="F6" s="138"/>
      <c r="G6" s="138"/>
    </row>
    <row r="8" spans="1:7" s="3" customFormat="1" x14ac:dyDescent="0.25">
      <c r="A8" s="134" t="s">
        <v>5</v>
      </c>
      <c r="B8" s="137" t="s">
        <v>0</v>
      </c>
      <c r="C8" s="137" t="s">
        <v>1</v>
      </c>
      <c r="D8" s="137"/>
      <c r="E8" s="137" t="s">
        <v>3</v>
      </c>
      <c r="F8" s="137"/>
      <c r="G8" s="137" t="s">
        <v>4</v>
      </c>
    </row>
    <row r="9" spans="1:7" s="3" customFormat="1" ht="25.15" customHeight="1" x14ac:dyDescent="0.25">
      <c r="A9" s="135"/>
      <c r="B9" s="137"/>
      <c r="C9" s="137"/>
      <c r="D9" s="137"/>
      <c r="E9" s="137" t="s">
        <v>7</v>
      </c>
      <c r="F9" s="137"/>
      <c r="G9" s="137"/>
    </row>
    <row r="10" spans="1:7" s="3" customFormat="1" ht="51" x14ac:dyDescent="0.25">
      <c r="A10" s="136"/>
      <c r="B10" s="137"/>
      <c r="C10" s="6" t="s">
        <v>162</v>
      </c>
      <c r="D10" s="104" t="s">
        <v>23</v>
      </c>
      <c r="E10" s="102" t="s">
        <v>163</v>
      </c>
      <c r="F10" s="104" t="s">
        <v>36</v>
      </c>
      <c r="G10" s="137"/>
    </row>
    <row r="11" spans="1:7" x14ac:dyDescent="0.2">
      <c r="A11" s="7">
        <v>1</v>
      </c>
      <c r="B11" s="8" t="s">
        <v>22</v>
      </c>
      <c r="C11" s="6">
        <v>41</v>
      </c>
      <c r="D11" s="6">
        <v>30</v>
      </c>
      <c r="E11" s="30">
        <f>C11*91*5</f>
        <v>18655</v>
      </c>
      <c r="F11" s="9">
        <f>D11*91*5</f>
        <v>13650</v>
      </c>
      <c r="G11" s="9">
        <f>E11+F11</f>
        <v>32305</v>
      </c>
    </row>
    <row r="12" spans="1:7" x14ac:dyDescent="0.2">
      <c r="A12" s="7">
        <v>2</v>
      </c>
      <c r="B12" s="10" t="s">
        <v>8</v>
      </c>
      <c r="C12" s="11">
        <f>C13+C14</f>
        <v>41</v>
      </c>
      <c r="D12" s="11">
        <f>D13+D14</f>
        <v>32</v>
      </c>
      <c r="E12" s="31">
        <f>E13+E14</f>
        <v>18655</v>
      </c>
      <c r="F12" s="12">
        <f>F13+F14</f>
        <v>14560</v>
      </c>
      <c r="G12" s="9">
        <f>E12+F12</f>
        <v>33215</v>
      </c>
    </row>
    <row r="13" spans="1:7" s="17" customFormat="1" ht="12" x14ac:dyDescent="0.2">
      <c r="A13" s="13"/>
      <c r="B13" s="14" t="s">
        <v>9</v>
      </c>
      <c r="C13" s="15">
        <v>27</v>
      </c>
      <c r="D13" s="15">
        <v>27</v>
      </c>
      <c r="E13" s="106">
        <f t="shared" ref="E13:F15" si="0">C13*91*5</f>
        <v>12285</v>
      </c>
      <c r="F13" s="22">
        <f t="shared" si="0"/>
        <v>12285</v>
      </c>
      <c r="G13" s="16"/>
    </row>
    <row r="14" spans="1:7" s="17" customFormat="1" ht="12" x14ac:dyDescent="0.2">
      <c r="A14" s="13"/>
      <c r="B14" s="14" t="s">
        <v>10</v>
      </c>
      <c r="C14" s="15">
        <v>14</v>
      </c>
      <c r="D14" s="15">
        <v>5</v>
      </c>
      <c r="E14" s="106">
        <f t="shared" si="0"/>
        <v>6370</v>
      </c>
      <c r="F14" s="22">
        <f t="shared" si="0"/>
        <v>2275</v>
      </c>
      <c r="G14" s="16"/>
    </row>
    <row r="15" spans="1:7" x14ac:dyDescent="0.2">
      <c r="A15" s="7">
        <v>3</v>
      </c>
      <c r="B15" s="10" t="s">
        <v>11</v>
      </c>
      <c r="C15" s="11">
        <v>30</v>
      </c>
      <c r="D15" s="11">
        <v>30</v>
      </c>
      <c r="E15" s="30">
        <f t="shared" si="0"/>
        <v>13650</v>
      </c>
      <c r="F15" s="9">
        <f t="shared" si="0"/>
        <v>13650</v>
      </c>
      <c r="G15" s="30">
        <f>E15+F15</f>
        <v>27300</v>
      </c>
    </row>
    <row r="16" spans="1:7" x14ac:dyDescent="0.2">
      <c r="A16" s="7">
        <v>4</v>
      </c>
      <c r="B16" s="10" t="s">
        <v>12</v>
      </c>
      <c r="C16" s="11">
        <f>C17+C18</f>
        <v>48</v>
      </c>
      <c r="D16" s="11">
        <f>D17+D18</f>
        <v>30</v>
      </c>
      <c r="E16" s="31">
        <f>E17+E18</f>
        <v>21840</v>
      </c>
      <c r="F16" s="12">
        <f>F17+F18</f>
        <v>13650</v>
      </c>
      <c r="G16" s="30">
        <f>E16+F16</f>
        <v>35490</v>
      </c>
    </row>
    <row r="17" spans="1:7" s="17" customFormat="1" ht="12" x14ac:dyDescent="0.2">
      <c r="A17" s="13"/>
      <c r="B17" s="14" t="s">
        <v>13</v>
      </c>
      <c r="C17" s="15">
        <v>38</v>
      </c>
      <c r="D17" s="15">
        <v>25</v>
      </c>
      <c r="E17" s="106">
        <f>C17*91*5</f>
        <v>17290</v>
      </c>
      <c r="F17" s="22">
        <f>D17*91*5</f>
        <v>11375</v>
      </c>
      <c r="G17" s="32"/>
    </row>
    <row r="18" spans="1:7" s="17" customFormat="1" ht="12" x14ac:dyDescent="0.2">
      <c r="A18" s="13"/>
      <c r="B18" s="14" t="s">
        <v>14</v>
      </c>
      <c r="C18" s="15">
        <v>10</v>
      </c>
      <c r="D18" s="15">
        <v>5</v>
      </c>
      <c r="E18" s="106">
        <f>C18*91*5</f>
        <v>4550</v>
      </c>
      <c r="F18" s="22">
        <f>D18*91*5</f>
        <v>2275</v>
      </c>
      <c r="G18" s="32"/>
    </row>
    <row r="19" spans="1:7" x14ac:dyDescent="0.2">
      <c r="A19" s="7">
        <v>5</v>
      </c>
      <c r="B19" s="10" t="s">
        <v>15</v>
      </c>
      <c r="C19" s="11">
        <f>C20+C21</f>
        <v>26</v>
      </c>
      <c r="D19" s="11">
        <f>D20+D21</f>
        <v>20</v>
      </c>
      <c r="E19" s="31">
        <f>E20+E21</f>
        <v>11830</v>
      </c>
      <c r="F19" s="12">
        <f>F20+F21</f>
        <v>9100</v>
      </c>
      <c r="G19" s="30">
        <f>E19+F19</f>
        <v>20930</v>
      </c>
    </row>
    <row r="20" spans="1:7" x14ac:dyDescent="0.2">
      <c r="A20" s="7"/>
      <c r="B20" s="14" t="s">
        <v>16</v>
      </c>
      <c r="C20" s="15">
        <v>20</v>
      </c>
      <c r="D20" s="15">
        <v>15</v>
      </c>
      <c r="E20" s="106">
        <f>C20*91*5</f>
        <v>9100</v>
      </c>
      <c r="F20" s="22">
        <f>D20*91*5</f>
        <v>6825</v>
      </c>
      <c r="G20" s="32"/>
    </row>
    <row r="21" spans="1:7" x14ac:dyDescent="0.2">
      <c r="A21" s="7"/>
      <c r="B21" s="14" t="s">
        <v>17</v>
      </c>
      <c r="C21" s="15">
        <v>6</v>
      </c>
      <c r="D21" s="15">
        <v>5</v>
      </c>
      <c r="E21" s="106">
        <f>C21*91*5</f>
        <v>2730</v>
      </c>
      <c r="F21" s="22">
        <f>D21*91*5</f>
        <v>2275</v>
      </c>
      <c r="G21" s="32"/>
    </row>
    <row r="22" spans="1:7" x14ac:dyDescent="0.2">
      <c r="A22" s="7">
        <v>6</v>
      </c>
      <c r="B22" s="10" t="s">
        <v>18</v>
      </c>
      <c r="C22" s="11">
        <f>C23+C24+C25</f>
        <v>30</v>
      </c>
      <c r="D22" s="11">
        <f>D23+D24+D25</f>
        <v>25</v>
      </c>
      <c r="E22" s="31">
        <f>E23+E24+E25</f>
        <v>13650</v>
      </c>
      <c r="F22" s="12">
        <f>F23+F24+F25</f>
        <v>11375</v>
      </c>
      <c r="G22" s="30">
        <f>E22+F22</f>
        <v>25025</v>
      </c>
    </row>
    <row r="23" spans="1:7" s="17" customFormat="1" ht="12" x14ac:dyDescent="0.2">
      <c r="A23" s="13"/>
      <c r="B23" s="14" t="s">
        <v>59</v>
      </c>
      <c r="C23" s="15">
        <v>15</v>
      </c>
      <c r="D23" s="15">
        <v>15</v>
      </c>
      <c r="E23" s="106">
        <f t="shared" ref="E23:F25" si="1">C23*91*5</f>
        <v>6825</v>
      </c>
      <c r="F23" s="22">
        <f t="shared" si="1"/>
        <v>6825</v>
      </c>
      <c r="G23" s="32"/>
    </row>
    <row r="24" spans="1:7" s="17" customFormat="1" ht="12" x14ac:dyDescent="0.2">
      <c r="A24" s="13"/>
      <c r="B24" s="14" t="s">
        <v>60</v>
      </c>
      <c r="C24" s="15">
        <v>10</v>
      </c>
      <c r="D24" s="15">
        <v>5</v>
      </c>
      <c r="E24" s="106">
        <f t="shared" si="1"/>
        <v>4550</v>
      </c>
      <c r="F24" s="22">
        <f t="shared" si="1"/>
        <v>2275</v>
      </c>
      <c r="G24" s="32"/>
    </row>
    <row r="25" spans="1:7" x14ac:dyDescent="0.2">
      <c r="A25" s="7"/>
      <c r="B25" s="14" t="s">
        <v>64</v>
      </c>
      <c r="C25" s="15">
        <v>5</v>
      </c>
      <c r="D25" s="15">
        <v>5</v>
      </c>
      <c r="E25" s="106">
        <f t="shared" si="1"/>
        <v>2275</v>
      </c>
      <c r="F25" s="22">
        <f t="shared" si="1"/>
        <v>2275</v>
      </c>
      <c r="G25" s="32"/>
    </row>
    <row r="26" spans="1:7" x14ac:dyDescent="0.2">
      <c r="A26" s="7">
        <v>7</v>
      </c>
      <c r="B26" s="10" t="s">
        <v>19</v>
      </c>
      <c r="C26" s="11">
        <v>40</v>
      </c>
      <c r="D26" s="11">
        <v>30</v>
      </c>
      <c r="E26" s="30">
        <f t="shared" ref="E26:E29" si="2">C26*91*5</f>
        <v>18200</v>
      </c>
      <c r="F26" s="9">
        <f t="shared" ref="F26:F29" si="3">D26*91*5</f>
        <v>13650</v>
      </c>
      <c r="G26" s="30">
        <f>E26+F26</f>
        <v>31850</v>
      </c>
    </row>
    <row r="27" spans="1:7" x14ac:dyDescent="0.2">
      <c r="A27" s="7">
        <v>8</v>
      </c>
      <c r="B27" s="10" t="s">
        <v>20</v>
      </c>
      <c r="C27" s="11">
        <v>10</v>
      </c>
      <c r="D27" s="11">
        <v>10</v>
      </c>
      <c r="E27" s="30">
        <f t="shared" si="2"/>
        <v>4550</v>
      </c>
      <c r="F27" s="9">
        <f t="shared" si="3"/>
        <v>4550</v>
      </c>
      <c r="G27" s="30">
        <f>E27+F27</f>
        <v>9100</v>
      </c>
    </row>
    <row r="28" spans="1:7" ht="66.599999999999994" customHeight="1" x14ac:dyDescent="0.2">
      <c r="A28" s="7">
        <v>9</v>
      </c>
      <c r="B28" s="8" t="s">
        <v>164</v>
      </c>
      <c r="C28" s="7">
        <v>45</v>
      </c>
      <c r="D28" s="7">
        <v>40</v>
      </c>
      <c r="E28" s="30">
        <f t="shared" si="2"/>
        <v>20475</v>
      </c>
      <c r="F28" s="9">
        <f t="shared" si="3"/>
        <v>18200</v>
      </c>
      <c r="G28" s="30">
        <f>E28+F28</f>
        <v>38675</v>
      </c>
    </row>
    <row r="29" spans="1:7" ht="65.45" customHeight="1" x14ac:dyDescent="0.2">
      <c r="A29" s="7">
        <v>10</v>
      </c>
      <c r="B29" s="67" t="s">
        <v>165</v>
      </c>
      <c r="C29" s="7">
        <v>20</v>
      </c>
      <c r="D29" s="7">
        <v>15</v>
      </c>
      <c r="E29" s="30">
        <f t="shared" si="2"/>
        <v>9100</v>
      </c>
      <c r="F29" s="9">
        <f t="shared" si="3"/>
        <v>6825</v>
      </c>
      <c r="G29" s="9">
        <f>E29+F29</f>
        <v>15925</v>
      </c>
    </row>
    <row r="30" spans="1:7" x14ac:dyDescent="0.2">
      <c r="A30" s="18"/>
      <c r="B30" s="19" t="s">
        <v>4</v>
      </c>
      <c r="C30" s="20">
        <f>C11+C12+C15+C16+C19+C22+C26+C27+C28+C29</f>
        <v>331</v>
      </c>
      <c r="D30" s="20">
        <f>D11+D12+D15+D16+D19+D22+D26+D27+D28+D29</f>
        <v>262</v>
      </c>
      <c r="E30" s="33">
        <f>E11+E12+E15+E16+E19+E22+E26+E27+E28+E29</f>
        <v>150605</v>
      </c>
      <c r="F30" s="21">
        <f>F11+F12+F15+F16+F19+F22+F26+F27+F28+F29</f>
        <v>119210</v>
      </c>
      <c r="G30" s="21">
        <f t="shared" ref="G30" si="4">G11+G12+G15+G16+G19+G22+G25+G26+G27+G28+G29</f>
        <v>269815</v>
      </c>
    </row>
    <row r="32" spans="1:7" x14ac:dyDescent="0.2">
      <c r="A32" s="1" t="s">
        <v>29</v>
      </c>
      <c r="E32" s="43"/>
      <c r="F32" s="51"/>
    </row>
    <row r="33" spans="1:7" ht="26.45" customHeight="1" x14ac:dyDescent="0.2">
      <c r="A33" s="133" t="s">
        <v>166</v>
      </c>
      <c r="B33" s="133"/>
      <c r="C33" s="133"/>
      <c r="D33" s="133"/>
      <c r="E33" s="133"/>
      <c r="F33" s="133"/>
      <c r="G33" s="133"/>
    </row>
    <row r="34" spans="1:7" x14ac:dyDescent="0.2">
      <c r="A34" s="1" t="s">
        <v>167</v>
      </c>
    </row>
    <row r="35" spans="1:7" s="108" customFormat="1" ht="26.45" customHeight="1" x14ac:dyDescent="0.2">
      <c r="A35" s="133" t="s">
        <v>168</v>
      </c>
      <c r="B35" s="133"/>
      <c r="C35" s="133"/>
      <c r="D35" s="133"/>
      <c r="E35" s="133"/>
      <c r="F35" s="133"/>
      <c r="G35" s="133"/>
    </row>
  </sheetData>
  <mergeCells count="13">
    <mergeCell ref="A33:G33"/>
    <mergeCell ref="A35:G35"/>
    <mergeCell ref="D1:G1"/>
    <mergeCell ref="D2:G2"/>
    <mergeCell ref="D3:G3"/>
    <mergeCell ref="D4:G4"/>
    <mergeCell ref="A8:A10"/>
    <mergeCell ref="B8:B10"/>
    <mergeCell ref="C8:D9"/>
    <mergeCell ref="E8:F8"/>
    <mergeCell ref="G8:G10"/>
    <mergeCell ref="E9:F9"/>
    <mergeCell ref="A6:G6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E20" sqref="E20"/>
    </sheetView>
  </sheetViews>
  <sheetFormatPr defaultColWidth="8.85546875" defaultRowHeight="12.75" x14ac:dyDescent="0.2"/>
  <cols>
    <col min="1" max="1" width="5.140625" style="23" customWidth="1"/>
    <col min="2" max="2" width="33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22" t="s">
        <v>58</v>
      </c>
      <c r="H1" s="122"/>
    </row>
    <row r="2" spans="1:11" x14ac:dyDescent="0.2">
      <c r="G2" s="122" t="s">
        <v>25</v>
      </c>
      <c r="H2" s="122"/>
    </row>
    <row r="3" spans="1:11" x14ac:dyDescent="0.2">
      <c r="G3" s="122" t="s">
        <v>26</v>
      </c>
      <c r="H3" s="122"/>
    </row>
    <row r="4" spans="1:11" x14ac:dyDescent="0.2">
      <c r="G4" s="122" t="s">
        <v>191</v>
      </c>
      <c r="H4" s="122"/>
    </row>
    <row r="5" spans="1:11" x14ac:dyDescent="0.2">
      <c r="G5" s="48"/>
      <c r="H5" s="48"/>
    </row>
    <row r="6" spans="1:11" ht="14.45" customHeight="1" x14ac:dyDescent="0.2">
      <c r="A6" s="139" t="s">
        <v>72</v>
      </c>
      <c r="B6" s="139"/>
      <c r="C6" s="139"/>
      <c r="D6" s="139"/>
      <c r="E6" s="139"/>
      <c r="F6" s="139"/>
      <c r="G6" s="139"/>
      <c r="H6" s="139"/>
    </row>
    <row r="8" spans="1:11" s="3" customFormat="1" ht="13.15" customHeight="1" x14ac:dyDescent="0.25">
      <c r="A8" s="134" t="s">
        <v>5</v>
      </c>
      <c r="B8" s="137" t="s">
        <v>0</v>
      </c>
      <c r="C8" s="134" t="s">
        <v>1</v>
      </c>
      <c r="D8" s="134" t="s">
        <v>32</v>
      </c>
      <c r="E8" s="137" t="s">
        <v>3</v>
      </c>
      <c r="F8" s="137"/>
      <c r="G8" s="137"/>
      <c r="H8" s="137" t="s">
        <v>4</v>
      </c>
    </row>
    <row r="9" spans="1:11" s="3" customFormat="1" ht="54.6" customHeight="1" x14ac:dyDescent="0.25">
      <c r="A9" s="135"/>
      <c r="B9" s="137"/>
      <c r="C9" s="135"/>
      <c r="D9" s="135"/>
      <c r="E9" s="49" t="s">
        <v>7</v>
      </c>
      <c r="F9" s="50" t="s">
        <v>6</v>
      </c>
      <c r="G9" s="47" t="s">
        <v>68</v>
      </c>
      <c r="H9" s="137"/>
    </row>
    <row r="10" spans="1:11" s="3" customFormat="1" ht="38.25" x14ac:dyDescent="0.25">
      <c r="A10" s="136"/>
      <c r="B10" s="137"/>
      <c r="C10" s="136"/>
      <c r="D10" s="136"/>
      <c r="E10" s="50" t="s">
        <v>173</v>
      </c>
      <c r="F10" s="105" t="s">
        <v>173</v>
      </c>
      <c r="G10" s="105" t="s">
        <v>157</v>
      </c>
      <c r="H10" s="137"/>
    </row>
    <row r="11" spans="1:11" ht="38.25" x14ac:dyDescent="0.2">
      <c r="A11" s="7">
        <v>1</v>
      </c>
      <c r="B11" s="8" t="s">
        <v>160</v>
      </c>
      <c r="C11" s="50">
        <v>10</v>
      </c>
      <c r="D11" s="50">
        <v>1</v>
      </c>
      <c r="E11" s="24">
        <f>(C11+D11)*91*15</f>
        <v>15015</v>
      </c>
      <c r="F11" s="24"/>
      <c r="G11" s="24"/>
      <c r="H11" s="9">
        <f>E11+G11</f>
        <v>15015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v>10</v>
      </c>
      <c r="D13" s="27">
        <f>D11</f>
        <v>1</v>
      </c>
      <c r="E13" s="28">
        <f>E11</f>
        <v>15015</v>
      </c>
      <c r="F13" s="28"/>
      <c r="G13" s="28">
        <f>G11</f>
        <v>0</v>
      </c>
      <c r="H13" s="21">
        <f>H11</f>
        <v>15015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182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172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/>
      <c r="B18" s="23" t="s">
        <v>196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158</v>
      </c>
    </row>
    <row r="23" spans="1:11" x14ac:dyDescent="0.2">
      <c r="A23" s="23" t="s">
        <v>159</v>
      </c>
    </row>
  </sheetData>
  <mergeCells count="11"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K10" sqref="K10"/>
    </sheetView>
  </sheetViews>
  <sheetFormatPr defaultColWidth="8.85546875"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22" t="s">
        <v>69</v>
      </c>
      <c r="H1" s="122"/>
    </row>
    <row r="2" spans="1:11" x14ac:dyDescent="0.2">
      <c r="G2" s="122" t="s">
        <v>25</v>
      </c>
      <c r="H2" s="122"/>
    </row>
    <row r="3" spans="1:11" x14ac:dyDescent="0.2">
      <c r="G3" s="122" t="s">
        <v>26</v>
      </c>
      <c r="H3" s="122"/>
    </row>
    <row r="4" spans="1:11" x14ac:dyDescent="0.2">
      <c r="G4" s="122" t="s">
        <v>191</v>
      </c>
      <c r="H4" s="122"/>
    </row>
    <row r="5" spans="1:11" x14ac:dyDescent="0.2">
      <c r="G5" s="2"/>
      <c r="H5" s="2"/>
    </row>
    <row r="6" spans="1:11" ht="14.45" customHeight="1" x14ac:dyDescent="0.2">
      <c r="A6" s="139" t="s">
        <v>71</v>
      </c>
      <c r="B6" s="139"/>
      <c r="C6" s="139"/>
      <c r="D6" s="139"/>
      <c r="E6" s="139"/>
      <c r="F6" s="139"/>
      <c r="G6" s="139"/>
      <c r="H6" s="139"/>
    </row>
    <row r="8" spans="1:11" s="3" customFormat="1" ht="13.15" customHeight="1" x14ac:dyDescent="0.25">
      <c r="A8" s="134" t="s">
        <v>5</v>
      </c>
      <c r="B8" s="137" t="s">
        <v>0</v>
      </c>
      <c r="C8" s="140" t="s">
        <v>1</v>
      </c>
      <c r="D8" s="140" t="s">
        <v>70</v>
      </c>
      <c r="E8" s="137" t="s">
        <v>3</v>
      </c>
      <c r="F8" s="137"/>
      <c r="G8" s="137"/>
      <c r="H8" s="137" t="s">
        <v>4</v>
      </c>
    </row>
    <row r="9" spans="1:11" s="3" customFormat="1" ht="53.45" customHeight="1" x14ac:dyDescent="0.25">
      <c r="A9" s="135"/>
      <c r="B9" s="137"/>
      <c r="C9" s="141"/>
      <c r="D9" s="141"/>
      <c r="E9" s="6" t="s">
        <v>7</v>
      </c>
      <c r="F9" s="4" t="s">
        <v>6</v>
      </c>
      <c r="G9" s="5" t="s">
        <v>68</v>
      </c>
      <c r="H9" s="137"/>
    </row>
    <row r="10" spans="1:11" s="3" customFormat="1" ht="25.5" x14ac:dyDescent="0.25">
      <c r="A10" s="136"/>
      <c r="B10" s="137"/>
      <c r="C10" s="142"/>
      <c r="D10" s="142"/>
      <c r="E10" s="4" t="s">
        <v>176</v>
      </c>
      <c r="F10" s="50" t="s">
        <v>176</v>
      </c>
      <c r="G10" s="4" t="s">
        <v>31</v>
      </c>
      <c r="H10" s="137"/>
    </row>
    <row r="11" spans="1:11" ht="38.25" x14ac:dyDescent="0.2">
      <c r="A11" s="7">
        <v>1</v>
      </c>
      <c r="B11" s="8" t="s">
        <v>160</v>
      </c>
      <c r="C11" s="4">
        <v>15</v>
      </c>
      <c r="D11" s="64">
        <v>1</v>
      </c>
      <c r="E11" s="24">
        <f>(C11+D11)*15*91</f>
        <v>21840</v>
      </c>
      <c r="F11" s="24"/>
      <c r="G11" s="24"/>
      <c r="H11" s="9">
        <f>E11+G11</f>
        <v>21840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f t="shared" ref="C13:H13" si="0">C11</f>
        <v>15</v>
      </c>
      <c r="D13" s="27">
        <f t="shared" si="0"/>
        <v>1</v>
      </c>
      <c r="E13" s="28">
        <f t="shared" si="0"/>
        <v>21840</v>
      </c>
      <c r="F13" s="28">
        <f t="shared" si="0"/>
        <v>0</v>
      </c>
      <c r="G13" s="28">
        <f t="shared" si="0"/>
        <v>0</v>
      </c>
      <c r="H13" s="21">
        <f t="shared" si="0"/>
        <v>21840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181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174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158</v>
      </c>
    </row>
    <row r="23" spans="1:11" x14ac:dyDescent="0.2">
      <c r="A23" s="23" t="s">
        <v>159</v>
      </c>
    </row>
  </sheetData>
  <mergeCells count="11">
    <mergeCell ref="A6:H6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zoomScaleNormal="100" workbookViewId="0">
      <selection activeCell="K9" sqref="K9"/>
    </sheetView>
  </sheetViews>
  <sheetFormatPr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5" width="18.7109375" style="23" customWidth="1"/>
    <col min="6" max="7" width="17.5703125" style="23" customWidth="1"/>
    <col min="8" max="8" width="16.8554687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22" t="s">
        <v>65</v>
      </c>
      <c r="H1" s="122"/>
    </row>
    <row r="2" spans="1:11" x14ac:dyDescent="0.2">
      <c r="G2" s="122" t="s">
        <v>25</v>
      </c>
      <c r="H2" s="122"/>
    </row>
    <row r="3" spans="1:11" x14ac:dyDescent="0.2">
      <c r="G3" s="122" t="s">
        <v>26</v>
      </c>
      <c r="H3" s="122"/>
    </row>
    <row r="4" spans="1:11" x14ac:dyDescent="0.2">
      <c r="G4" s="122" t="s">
        <v>191</v>
      </c>
      <c r="H4" s="122"/>
    </row>
    <row r="5" spans="1:11" x14ac:dyDescent="0.2">
      <c r="G5" s="48"/>
      <c r="H5" s="48"/>
    </row>
    <row r="6" spans="1:11" x14ac:dyDescent="0.2">
      <c r="A6" s="139" t="s">
        <v>184</v>
      </c>
      <c r="B6" s="139"/>
      <c r="C6" s="139"/>
      <c r="D6" s="139"/>
      <c r="E6" s="139"/>
      <c r="F6" s="139"/>
      <c r="G6" s="139"/>
      <c r="H6" s="139"/>
    </row>
    <row r="8" spans="1:11" s="3" customFormat="1" ht="13.15" customHeight="1" x14ac:dyDescent="0.25">
      <c r="A8" s="134" t="s">
        <v>5</v>
      </c>
      <c r="B8" s="137" t="s">
        <v>0</v>
      </c>
      <c r="C8" s="140" t="s">
        <v>1</v>
      </c>
      <c r="D8" s="140" t="s">
        <v>70</v>
      </c>
      <c r="E8" s="146" t="s">
        <v>3</v>
      </c>
      <c r="F8" s="147"/>
      <c r="G8" s="148"/>
      <c r="H8" s="137" t="s">
        <v>4</v>
      </c>
    </row>
    <row r="9" spans="1:11" s="3" customFormat="1" ht="38.25" x14ac:dyDescent="0.25">
      <c r="A9" s="135"/>
      <c r="B9" s="137"/>
      <c r="C9" s="141"/>
      <c r="D9" s="141"/>
      <c r="E9" s="110" t="s">
        <v>7</v>
      </c>
      <c r="F9" s="111" t="s">
        <v>6</v>
      </c>
      <c r="G9" s="117" t="s">
        <v>68</v>
      </c>
      <c r="H9" s="137"/>
    </row>
    <row r="10" spans="1:11" s="3" customFormat="1" ht="25.5" x14ac:dyDescent="0.25">
      <c r="A10" s="136"/>
      <c r="B10" s="137"/>
      <c r="C10" s="142"/>
      <c r="D10" s="142"/>
      <c r="E10" s="111" t="s">
        <v>185</v>
      </c>
      <c r="F10" s="111" t="s">
        <v>185</v>
      </c>
      <c r="G10" s="119"/>
      <c r="H10" s="137"/>
    </row>
    <row r="11" spans="1:11" s="3" customFormat="1" x14ac:dyDescent="0.25">
      <c r="A11" s="143" t="s">
        <v>190</v>
      </c>
      <c r="B11" s="144"/>
      <c r="C11" s="144"/>
      <c r="D11" s="144"/>
      <c r="E11" s="144"/>
      <c r="F11" s="144"/>
      <c r="G11" s="144"/>
      <c r="H11" s="145"/>
    </row>
    <row r="12" spans="1:11" ht="38.25" x14ac:dyDescent="0.2">
      <c r="A12" s="7">
        <v>1</v>
      </c>
      <c r="B12" s="8" t="s">
        <v>186</v>
      </c>
      <c r="C12" s="111">
        <v>12</v>
      </c>
      <c r="D12" s="111">
        <v>1</v>
      </c>
      <c r="E12" s="24">
        <f>(C12+D12)*91*5</f>
        <v>5915</v>
      </c>
      <c r="F12" s="24"/>
      <c r="G12" s="24"/>
      <c r="H12" s="9">
        <f>E12+F12+G12</f>
        <v>5915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12</v>
      </c>
      <c r="D14" s="27">
        <f t="shared" si="0"/>
        <v>1</v>
      </c>
      <c r="E14" s="28">
        <f t="shared" si="0"/>
        <v>5915</v>
      </c>
      <c r="F14" s="28">
        <f t="shared" si="0"/>
        <v>0</v>
      </c>
      <c r="G14" s="28">
        <f t="shared" si="0"/>
        <v>0</v>
      </c>
      <c r="H14" s="21">
        <f t="shared" si="0"/>
        <v>5915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187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188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189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158</v>
      </c>
    </row>
    <row r="24" spans="1:11" x14ac:dyDescent="0.2">
      <c r="A24" s="23" t="s">
        <v>161</v>
      </c>
    </row>
  </sheetData>
  <mergeCells count="13">
    <mergeCell ref="H8:H10"/>
    <mergeCell ref="G9:G10"/>
    <mergeCell ref="A11:H11"/>
    <mergeCell ref="G1:H1"/>
    <mergeCell ref="G2:H2"/>
    <mergeCell ref="G3:H3"/>
    <mergeCell ref="G4:H4"/>
    <mergeCell ref="A6:H6"/>
    <mergeCell ref="A8:A10"/>
    <mergeCell ref="B8:B10"/>
    <mergeCell ref="C8:C10"/>
    <mergeCell ref="D8:D10"/>
    <mergeCell ref="E8:G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tabSelected="1" zoomScaleNormal="100" workbookViewId="0">
      <selection activeCell="J22" sqref="J22"/>
    </sheetView>
  </sheetViews>
  <sheetFormatPr defaultRowHeight="12.75" x14ac:dyDescent="0.2"/>
  <cols>
    <col min="1" max="1" width="5.140625" style="23" customWidth="1"/>
    <col min="2" max="2" width="40.42578125" style="23" customWidth="1"/>
    <col min="3" max="4" width="15.28515625" style="23" customWidth="1"/>
    <col min="5" max="5" width="18.7109375" style="23" customWidth="1"/>
    <col min="6" max="7" width="17.5703125" style="23" customWidth="1"/>
    <col min="8" max="8" width="16.8554687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22" t="s">
        <v>183</v>
      </c>
      <c r="H1" s="122"/>
    </row>
    <row r="2" spans="1:11" x14ac:dyDescent="0.2">
      <c r="G2" s="122" t="s">
        <v>25</v>
      </c>
      <c r="H2" s="122"/>
    </row>
    <row r="3" spans="1:11" x14ac:dyDescent="0.2">
      <c r="G3" s="122" t="s">
        <v>26</v>
      </c>
      <c r="H3" s="122"/>
    </row>
    <row r="4" spans="1:11" x14ac:dyDescent="0.2">
      <c r="G4" s="122" t="s">
        <v>191</v>
      </c>
      <c r="H4" s="122"/>
    </row>
    <row r="5" spans="1:11" x14ac:dyDescent="0.2">
      <c r="G5" s="48"/>
      <c r="H5" s="48"/>
    </row>
    <row r="6" spans="1:11" x14ac:dyDescent="0.2">
      <c r="A6" s="139" t="s">
        <v>125</v>
      </c>
      <c r="B6" s="139"/>
      <c r="C6" s="139"/>
      <c r="D6" s="139"/>
      <c r="E6" s="139"/>
      <c r="F6" s="139"/>
      <c r="G6" s="139"/>
      <c r="H6" s="139"/>
    </row>
    <row r="8" spans="1:11" s="3" customFormat="1" ht="13.15" customHeight="1" x14ac:dyDescent="0.25">
      <c r="A8" s="134" t="s">
        <v>5</v>
      </c>
      <c r="B8" s="137" t="s">
        <v>0</v>
      </c>
      <c r="C8" s="140" t="s">
        <v>1</v>
      </c>
      <c r="D8" s="140" t="s">
        <v>70</v>
      </c>
      <c r="E8" s="146" t="s">
        <v>3</v>
      </c>
      <c r="F8" s="147"/>
      <c r="G8" s="148"/>
      <c r="H8" s="137" t="s">
        <v>4</v>
      </c>
    </row>
    <row r="9" spans="1:11" s="3" customFormat="1" ht="38.25" x14ac:dyDescent="0.25">
      <c r="A9" s="135"/>
      <c r="B9" s="137"/>
      <c r="C9" s="141"/>
      <c r="D9" s="141"/>
      <c r="E9" s="84" t="s">
        <v>7</v>
      </c>
      <c r="F9" s="85" t="s">
        <v>6</v>
      </c>
      <c r="G9" s="117" t="s">
        <v>68</v>
      </c>
      <c r="H9" s="137"/>
    </row>
    <row r="10" spans="1:11" s="3" customFormat="1" x14ac:dyDescent="0.25">
      <c r="A10" s="136"/>
      <c r="B10" s="137"/>
      <c r="C10" s="142"/>
      <c r="D10" s="142"/>
      <c r="E10" s="85" t="s">
        <v>180</v>
      </c>
      <c r="F10" s="85" t="s">
        <v>180</v>
      </c>
      <c r="G10" s="119"/>
      <c r="H10" s="137"/>
    </row>
    <row r="11" spans="1:11" s="3" customFormat="1" x14ac:dyDescent="0.25">
      <c r="A11" s="143" t="s">
        <v>190</v>
      </c>
      <c r="B11" s="144"/>
      <c r="C11" s="144"/>
      <c r="D11" s="144"/>
      <c r="E11" s="144"/>
      <c r="F11" s="144"/>
      <c r="G11" s="144"/>
      <c r="H11" s="145"/>
    </row>
    <row r="12" spans="1:11" x14ac:dyDescent="0.2">
      <c r="A12" s="7">
        <v>1</v>
      </c>
      <c r="B12" s="10" t="s">
        <v>126</v>
      </c>
      <c r="C12" s="85">
        <v>30</v>
      </c>
      <c r="D12" s="85">
        <v>2</v>
      </c>
      <c r="E12" s="24">
        <f>(C12+D12)*91*15</f>
        <v>43680</v>
      </c>
      <c r="F12" s="24"/>
      <c r="G12" s="24"/>
      <c r="H12" s="9">
        <f>E12+F12+G12</f>
        <v>43680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30</v>
      </c>
      <c r="D14" s="27">
        <f t="shared" si="0"/>
        <v>2</v>
      </c>
      <c r="E14" s="28">
        <f t="shared" si="0"/>
        <v>43680</v>
      </c>
      <c r="F14" s="28">
        <f t="shared" si="0"/>
        <v>0</v>
      </c>
      <c r="G14" s="28">
        <f t="shared" si="0"/>
        <v>0</v>
      </c>
      <c r="H14" s="21">
        <f t="shared" si="0"/>
        <v>43680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177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178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158</v>
      </c>
    </row>
    <row r="24" spans="1:11" x14ac:dyDescent="0.2">
      <c r="A24" s="23" t="s">
        <v>161</v>
      </c>
    </row>
  </sheetData>
  <mergeCells count="13">
    <mergeCell ref="G1:H1"/>
    <mergeCell ref="G2:H2"/>
    <mergeCell ref="G3:H3"/>
    <mergeCell ref="G4:H4"/>
    <mergeCell ref="A6:H6"/>
    <mergeCell ref="H8:H10"/>
    <mergeCell ref="G9:G10"/>
    <mergeCell ref="A11:H11"/>
    <mergeCell ref="A8:A10"/>
    <mergeCell ref="B8:B10"/>
    <mergeCell ref="C8:C10"/>
    <mergeCell ref="D8:D10"/>
    <mergeCell ref="E8:G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selection activeCell="W11" sqref="W11"/>
    </sheetView>
  </sheetViews>
  <sheetFormatPr defaultColWidth="8.85546875" defaultRowHeight="12.75" x14ac:dyDescent="0.2"/>
  <cols>
    <col min="1" max="1" width="4.42578125" style="53" customWidth="1"/>
    <col min="2" max="2" width="28.28515625" style="53" customWidth="1"/>
    <col min="3" max="3" width="9" style="53" bestFit="1" customWidth="1"/>
    <col min="4" max="4" width="11.28515625" style="53" customWidth="1"/>
    <col min="5" max="7" width="9" style="53" bestFit="1" customWidth="1"/>
    <col min="8" max="18" width="11.85546875" style="53" customWidth="1"/>
    <col min="19" max="19" width="15" style="53" customWidth="1"/>
    <col min="20" max="20" width="12.5703125" style="53" bestFit="1" customWidth="1"/>
    <col min="21" max="21" width="9.85546875" style="53" bestFit="1" customWidth="1"/>
    <col min="22" max="16384" width="8.85546875" style="53"/>
  </cols>
  <sheetData>
    <row r="1" spans="1:23" x14ac:dyDescent="0.2">
      <c r="O1" s="151" t="s">
        <v>192</v>
      </c>
      <c r="P1" s="151"/>
      <c r="Q1" s="151"/>
      <c r="R1" s="151"/>
    </row>
    <row r="2" spans="1:23" x14ac:dyDescent="0.2">
      <c r="O2" s="151" t="s">
        <v>25</v>
      </c>
      <c r="P2" s="151"/>
      <c r="Q2" s="151"/>
      <c r="R2" s="151"/>
    </row>
    <row r="3" spans="1:23" x14ac:dyDescent="0.2">
      <c r="O3" s="151" t="s">
        <v>26</v>
      </c>
      <c r="P3" s="151"/>
      <c r="Q3" s="151"/>
      <c r="R3" s="151"/>
    </row>
    <row r="4" spans="1:23" x14ac:dyDescent="0.2">
      <c r="O4" s="152" t="s">
        <v>61</v>
      </c>
      <c r="P4" s="152"/>
      <c r="Q4" s="152"/>
      <c r="R4" s="152"/>
    </row>
    <row r="5" spans="1:23" x14ac:dyDescent="0.2">
      <c r="A5" s="54"/>
      <c r="B5" s="54"/>
      <c r="C5" s="54"/>
      <c r="D5" s="54"/>
      <c r="E5" s="54"/>
      <c r="F5" s="54"/>
      <c r="G5" s="54"/>
      <c r="H5" s="54"/>
      <c r="I5" s="55"/>
      <c r="J5" s="55"/>
      <c r="K5" s="54"/>
      <c r="L5" s="54"/>
      <c r="M5" s="54"/>
      <c r="N5" s="54"/>
      <c r="O5" s="153"/>
      <c r="P5" s="153"/>
      <c r="Q5" s="153"/>
      <c r="R5" s="153"/>
      <c r="S5" s="153"/>
    </row>
    <row r="6" spans="1:23" ht="13.15" customHeight="1" x14ac:dyDescent="0.2">
      <c r="A6" s="150" t="s">
        <v>37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54"/>
    </row>
    <row r="7" spans="1:23" x14ac:dyDescent="0.2">
      <c r="A7" s="54"/>
      <c r="B7" s="54"/>
      <c r="C7" s="54"/>
      <c r="D7" s="54"/>
      <c r="E7" s="54"/>
      <c r="F7" s="54"/>
      <c r="G7" s="54"/>
      <c r="H7" s="54"/>
      <c r="I7" s="56"/>
      <c r="J7" s="55"/>
      <c r="K7" s="54"/>
      <c r="L7" s="54"/>
      <c r="M7" s="54"/>
      <c r="N7" s="54"/>
      <c r="O7" s="54"/>
      <c r="P7" s="54"/>
      <c r="Q7" s="54"/>
      <c r="R7" s="54"/>
      <c r="S7" s="54"/>
    </row>
    <row r="8" spans="1:23" ht="13.15" customHeight="1" x14ac:dyDescent="0.2">
      <c r="A8" s="149" t="s">
        <v>38</v>
      </c>
      <c r="B8" s="149" t="s">
        <v>39</v>
      </c>
      <c r="C8" s="149" t="s">
        <v>40</v>
      </c>
      <c r="D8" s="149" t="s">
        <v>75</v>
      </c>
      <c r="E8" s="149" t="s">
        <v>41</v>
      </c>
      <c r="F8" s="149" t="s">
        <v>42</v>
      </c>
      <c r="G8" s="149"/>
      <c r="H8" s="149" t="s">
        <v>43</v>
      </c>
      <c r="I8" s="149"/>
      <c r="J8" s="149"/>
      <c r="K8" s="149"/>
      <c r="L8" s="149" t="s">
        <v>44</v>
      </c>
      <c r="M8" s="149"/>
      <c r="N8" s="149" t="s">
        <v>45</v>
      </c>
      <c r="O8" s="149"/>
      <c r="P8" s="149" t="s">
        <v>46</v>
      </c>
      <c r="Q8" s="149"/>
      <c r="R8" s="155" t="s">
        <v>47</v>
      </c>
      <c r="S8" s="57"/>
    </row>
    <row r="9" spans="1:23" x14ac:dyDescent="0.2">
      <c r="A9" s="149"/>
      <c r="B9" s="149"/>
      <c r="C9" s="149"/>
      <c r="D9" s="149"/>
      <c r="E9" s="149"/>
      <c r="F9" s="149" t="s">
        <v>48</v>
      </c>
      <c r="G9" s="149" t="s">
        <v>49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5"/>
      <c r="S9" s="57"/>
    </row>
    <row r="10" spans="1:23" x14ac:dyDescent="0.2">
      <c r="A10" s="149"/>
      <c r="B10" s="149"/>
      <c r="C10" s="149"/>
      <c r="D10" s="149"/>
      <c r="E10" s="149"/>
      <c r="F10" s="149"/>
      <c r="G10" s="149"/>
      <c r="H10" s="149" t="s">
        <v>48</v>
      </c>
      <c r="I10" s="149" t="s">
        <v>50</v>
      </c>
      <c r="J10" s="149" t="s">
        <v>51</v>
      </c>
      <c r="K10" s="149" t="s">
        <v>49</v>
      </c>
      <c r="L10" s="149" t="s">
        <v>48</v>
      </c>
      <c r="M10" s="149" t="s">
        <v>49</v>
      </c>
      <c r="N10" s="149" t="s">
        <v>52</v>
      </c>
      <c r="O10" s="149" t="s">
        <v>53</v>
      </c>
      <c r="P10" s="149" t="s">
        <v>54</v>
      </c>
      <c r="Q10" s="149" t="s">
        <v>53</v>
      </c>
      <c r="R10" s="155"/>
      <c r="S10" s="154"/>
    </row>
    <row r="11" spans="1:23" ht="55.9" customHeight="1" x14ac:dyDescent="0.2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5"/>
      <c r="S11" s="154"/>
    </row>
    <row r="12" spans="1:23" ht="25.5" x14ac:dyDescent="0.2">
      <c r="A12" s="94" t="s">
        <v>73</v>
      </c>
      <c r="B12" s="69" t="s">
        <v>96</v>
      </c>
      <c r="C12" s="94" t="s">
        <v>74</v>
      </c>
      <c r="D12" s="94" t="s">
        <v>97</v>
      </c>
      <c r="E12" s="94" t="s">
        <v>98</v>
      </c>
      <c r="F12" s="94" t="s">
        <v>99</v>
      </c>
      <c r="G12" s="94" t="s">
        <v>100</v>
      </c>
      <c r="H12" s="70">
        <f>13300*F12</f>
        <v>319200</v>
      </c>
      <c r="I12" s="70">
        <f>937*7*F12</f>
        <v>157416</v>
      </c>
      <c r="J12" s="70">
        <f>H12-I12-58184.4</f>
        <v>103599.6</v>
      </c>
      <c r="K12" s="70">
        <f>13300*G12</f>
        <v>26600</v>
      </c>
      <c r="L12" s="70">
        <f>4795.6*F12</f>
        <v>115094.40000000001</v>
      </c>
      <c r="M12" s="70">
        <f>6445.6*G12</f>
        <v>12891.2</v>
      </c>
      <c r="N12" s="70"/>
      <c r="O12" s="70"/>
      <c r="P12" s="70">
        <f>Q12/F12</f>
        <v>10757.716666666667</v>
      </c>
      <c r="Q12" s="70">
        <f>J12+K12+L12+M12</f>
        <v>258185.2</v>
      </c>
      <c r="R12" s="71">
        <v>0</v>
      </c>
      <c r="S12" s="81"/>
    </row>
    <row r="13" spans="1:23" ht="38.25" x14ac:dyDescent="0.2">
      <c r="A13" s="94" t="s">
        <v>100</v>
      </c>
      <c r="B13" s="69" t="s">
        <v>101</v>
      </c>
      <c r="C13" s="94" t="s">
        <v>74</v>
      </c>
      <c r="D13" s="94" t="s">
        <v>102</v>
      </c>
      <c r="E13" s="94" t="s">
        <v>98</v>
      </c>
      <c r="F13" s="94" t="s">
        <v>103</v>
      </c>
      <c r="G13" s="94" t="s">
        <v>73</v>
      </c>
      <c r="H13" s="70">
        <f>11000*F13</f>
        <v>143000</v>
      </c>
      <c r="I13" s="70">
        <f>937*7*F13</f>
        <v>85267</v>
      </c>
      <c r="J13" s="70">
        <f>H13-I13+7636.98</f>
        <v>65369.979999999996</v>
      </c>
      <c r="K13" s="70">
        <f>11000*G13</f>
        <v>11000</v>
      </c>
      <c r="L13" s="70">
        <f>4406.4*F13</f>
        <v>57283.199999999997</v>
      </c>
      <c r="M13" s="70">
        <f>5424.4*G13</f>
        <v>5424.4</v>
      </c>
      <c r="N13" s="70"/>
      <c r="O13" s="70"/>
      <c r="P13" s="70">
        <f>Q13/F13</f>
        <v>10698.275384615383</v>
      </c>
      <c r="Q13" s="70">
        <f>J13+K13+L13+M13</f>
        <v>139077.57999999999</v>
      </c>
      <c r="R13" s="71">
        <v>0</v>
      </c>
      <c r="S13" s="81"/>
    </row>
    <row r="14" spans="1:23" ht="51" x14ac:dyDescent="0.2">
      <c r="A14" s="94" t="s">
        <v>104</v>
      </c>
      <c r="B14" s="72" t="s">
        <v>105</v>
      </c>
      <c r="C14" s="94" t="s">
        <v>74</v>
      </c>
      <c r="D14" s="94" t="s">
        <v>106</v>
      </c>
      <c r="E14" s="94" t="s">
        <v>98</v>
      </c>
      <c r="F14" s="94" t="s">
        <v>110</v>
      </c>
      <c r="G14" s="94" t="s">
        <v>100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/>
      <c r="O14" s="70"/>
      <c r="P14" s="70">
        <v>0</v>
      </c>
      <c r="Q14" s="70">
        <v>0</v>
      </c>
      <c r="R14" s="71">
        <v>0</v>
      </c>
      <c r="S14" s="81"/>
    </row>
    <row r="15" spans="1:23" ht="38.25" x14ac:dyDescent="0.2">
      <c r="A15" s="94" t="s">
        <v>107</v>
      </c>
      <c r="B15" s="69" t="s">
        <v>82</v>
      </c>
      <c r="C15" s="94" t="s">
        <v>74</v>
      </c>
      <c r="D15" s="94" t="s">
        <v>76</v>
      </c>
      <c r="E15" s="94" t="s">
        <v>77</v>
      </c>
      <c r="F15" s="94" t="s">
        <v>78</v>
      </c>
      <c r="G15" s="94" t="s">
        <v>73</v>
      </c>
      <c r="H15" s="70">
        <f>21500*F15</f>
        <v>258000</v>
      </c>
      <c r="I15" s="70">
        <f>937*21*F15</f>
        <v>236124</v>
      </c>
      <c r="J15" s="70">
        <f t="shared" ref="J15:J25" si="0">H15-I15</f>
        <v>21876</v>
      </c>
      <c r="K15" s="70">
        <f>21500*G15</f>
        <v>21500</v>
      </c>
      <c r="L15" s="70">
        <f>8800*F15+4575.94</f>
        <v>110175.94</v>
      </c>
      <c r="M15" s="70">
        <f>13616*G15</f>
        <v>13616</v>
      </c>
      <c r="N15" s="70"/>
      <c r="O15" s="70"/>
      <c r="P15" s="70">
        <f t="shared" ref="P15:P22" si="1">Q15/F15</f>
        <v>12795.995000000001</v>
      </c>
      <c r="Q15" s="70">
        <f>J15+K15+L15</f>
        <v>153551.94</v>
      </c>
      <c r="R15" s="71">
        <f t="shared" ref="R15:R21" si="2">M15</f>
        <v>13616</v>
      </c>
      <c r="S15" s="81"/>
    </row>
    <row r="16" spans="1:23" ht="25.5" x14ac:dyDescent="0.2">
      <c r="A16" s="94" t="s">
        <v>108</v>
      </c>
      <c r="B16" s="72" t="s">
        <v>55</v>
      </c>
      <c r="C16" s="94" t="s">
        <v>74</v>
      </c>
      <c r="D16" s="68" t="s">
        <v>79</v>
      </c>
      <c r="E16" s="73">
        <v>21</v>
      </c>
      <c r="F16" s="73">
        <v>12</v>
      </c>
      <c r="G16" s="73">
        <v>1</v>
      </c>
      <c r="H16" s="70">
        <f>23600*F16</f>
        <v>283200</v>
      </c>
      <c r="I16" s="70">
        <f t="shared" ref="I16:I25" si="3">937*21*F16</f>
        <v>236124</v>
      </c>
      <c r="J16" s="70">
        <f t="shared" si="0"/>
        <v>47076</v>
      </c>
      <c r="K16" s="70">
        <f>23600*G16</f>
        <v>23600</v>
      </c>
      <c r="L16" s="70">
        <f>9320*F16+2921.56</f>
        <v>114761.56</v>
      </c>
      <c r="M16" s="70">
        <f>14687.8*G16</f>
        <v>14687.8</v>
      </c>
      <c r="N16" s="70"/>
      <c r="O16" s="70"/>
      <c r="P16" s="70">
        <f t="shared" si="1"/>
        <v>15453.13</v>
      </c>
      <c r="Q16" s="70">
        <f>J16+K16+L16</f>
        <v>185437.56</v>
      </c>
      <c r="R16" s="71">
        <f t="shared" si="2"/>
        <v>14687.8</v>
      </c>
      <c r="S16" s="81"/>
      <c r="T16" s="60"/>
      <c r="U16" s="60"/>
      <c r="V16" s="60"/>
      <c r="W16" s="60"/>
    </row>
    <row r="17" spans="1:23" ht="38.25" x14ac:dyDescent="0.2">
      <c r="A17" s="94" t="s">
        <v>122</v>
      </c>
      <c r="B17" s="72" t="s">
        <v>81</v>
      </c>
      <c r="C17" s="94" t="s">
        <v>74</v>
      </c>
      <c r="D17" s="68" t="s">
        <v>80</v>
      </c>
      <c r="E17" s="73">
        <v>21</v>
      </c>
      <c r="F17" s="73">
        <v>12</v>
      </c>
      <c r="G17" s="73">
        <v>0</v>
      </c>
      <c r="H17" s="70">
        <f>20160*F17</f>
        <v>241920</v>
      </c>
      <c r="I17" s="70">
        <f t="shared" si="3"/>
        <v>236124</v>
      </c>
      <c r="J17" s="70">
        <f t="shared" si="0"/>
        <v>5796</v>
      </c>
      <c r="K17" s="70">
        <f>23600*G17</f>
        <v>0</v>
      </c>
      <c r="L17" s="70">
        <v>0</v>
      </c>
      <c r="M17" s="70">
        <f>13680*G17</f>
        <v>0</v>
      </c>
      <c r="N17" s="70"/>
      <c r="O17" s="70"/>
      <c r="P17" s="70">
        <f t="shared" si="1"/>
        <v>483</v>
      </c>
      <c r="Q17" s="70">
        <f t="shared" ref="Q17:Q24" si="4">J17+K17+L17</f>
        <v>5796</v>
      </c>
      <c r="R17" s="71">
        <f t="shared" si="2"/>
        <v>0</v>
      </c>
      <c r="S17" s="81"/>
      <c r="T17" s="60"/>
      <c r="U17" s="60"/>
      <c r="V17" s="60"/>
      <c r="W17" s="60"/>
    </row>
    <row r="18" spans="1:23" ht="25.5" x14ac:dyDescent="0.2">
      <c r="A18" s="94" t="s">
        <v>98</v>
      </c>
      <c r="B18" s="72" t="s">
        <v>55</v>
      </c>
      <c r="C18" s="94" t="s">
        <v>74</v>
      </c>
      <c r="D18" s="68" t="s">
        <v>83</v>
      </c>
      <c r="E18" s="73">
        <v>21</v>
      </c>
      <c r="F18" s="73">
        <v>13</v>
      </c>
      <c r="G18" s="73">
        <v>1</v>
      </c>
      <c r="H18" s="70">
        <f>23600*F18</f>
        <v>306800</v>
      </c>
      <c r="I18" s="70">
        <f t="shared" si="3"/>
        <v>255801</v>
      </c>
      <c r="J18" s="70">
        <f t="shared" si="0"/>
        <v>50999</v>
      </c>
      <c r="K18" s="70">
        <f>23600*G18</f>
        <v>23600</v>
      </c>
      <c r="L18" s="70">
        <f>9320*F18+1806.72</f>
        <v>122966.72</v>
      </c>
      <c r="M18" s="70">
        <f>14687.8*G18</f>
        <v>14687.8</v>
      </c>
      <c r="N18" s="70"/>
      <c r="O18" s="70"/>
      <c r="P18" s="70">
        <f t="shared" si="1"/>
        <v>15197.363076923077</v>
      </c>
      <c r="Q18" s="70">
        <f t="shared" si="4"/>
        <v>197565.72</v>
      </c>
      <c r="R18" s="71">
        <f t="shared" si="2"/>
        <v>14687.8</v>
      </c>
      <c r="S18" s="81"/>
      <c r="T18" s="60"/>
      <c r="U18" s="60"/>
      <c r="V18" s="60"/>
      <c r="W18" s="60"/>
    </row>
    <row r="19" spans="1:23" ht="38.25" x14ac:dyDescent="0.2">
      <c r="A19" s="94" t="s">
        <v>121</v>
      </c>
      <c r="B19" s="69" t="s">
        <v>82</v>
      </c>
      <c r="C19" s="94" t="s">
        <v>74</v>
      </c>
      <c r="D19" s="94" t="s">
        <v>85</v>
      </c>
      <c r="E19" s="94" t="s">
        <v>77</v>
      </c>
      <c r="F19" s="94" t="s">
        <v>78</v>
      </c>
      <c r="G19" s="94" t="s">
        <v>73</v>
      </c>
      <c r="H19" s="70">
        <f>21500*F19</f>
        <v>258000</v>
      </c>
      <c r="I19" s="70">
        <f>937*21*F19</f>
        <v>236124</v>
      </c>
      <c r="J19" s="70">
        <f t="shared" ref="J19" si="5">H19-I19</f>
        <v>21876</v>
      </c>
      <c r="K19" s="70">
        <f>21500*G19</f>
        <v>21500</v>
      </c>
      <c r="L19" s="70">
        <f>8800*F19+3875.98+703.44</f>
        <v>110179.42</v>
      </c>
      <c r="M19" s="70">
        <f>13616*G19</f>
        <v>13616</v>
      </c>
      <c r="N19" s="70"/>
      <c r="O19" s="70"/>
      <c r="P19" s="70">
        <f t="shared" si="1"/>
        <v>12796.284999999998</v>
      </c>
      <c r="Q19" s="70">
        <f>J19+K19+L19</f>
        <v>153555.41999999998</v>
      </c>
      <c r="R19" s="71">
        <f t="shared" si="2"/>
        <v>13616</v>
      </c>
      <c r="S19" s="81"/>
      <c r="T19" s="60"/>
      <c r="U19" s="60"/>
      <c r="V19" s="60"/>
      <c r="W19" s="60"/>
    </row>
    <row r="20" spans="1:23" ht="38.25" x14ac:dyDescent="0.2">
      <c r="A20" s="94" t="s">
        <v>123</v>
      </c>
      <c r="B20" s="69" t="s">
        <v>84</v>
      </c>
      <c r="C20" s="94" t="s">
        <v>74</v>
      </c>
      <c r="D20" s="68" t="s">
        <v>85</v>
      </c>
      <c r="E20" s="73">
        <v>21</v>
      </c>
      <c r="F20" s="73">
        <v>12</v>
      </c>
      <c r="G20" s="73">
        <v>1</v>
      </c>
      <c r="H20" s="70">
        <f>21500*F20</f>
        <v>258000</v>
      </c>
      <c r="I20" s="70">
        <f t="shared" si="3"/>
        <v>236124</v>
      </c>
      <c r="J20" s="70">
        <f t="shared" si="0"/>
        <v>21876</v>
      </c>
      <c r="K20" s="70">
        <f>21500*G20</f>
        <v>21500</v>
      </c>
      <c r="L20" s="70">
        <f>8800*F20+3872.92</f>
        <v>109472.92</v>
      </c>
      <c r="M20" s="70">
        <f>13616*G20</f>
        <v>13616</v>
      </c>
      <c r="N20" s="70"/>
      <c r="O20" s="70"/>
      <c r="P20" s="70">
        <f t="shared" si="1"/>
        <v>12737.409999999998</v>
      </c>
      <c r="Q20" s="70">
        <f t="shared" si="4"/>
        <v>152848.91999999998</v>
      </c>
      <c r="R20" s="71">
        <f t="shared" si="2"/>
        <v>13616</v>
      </c>
      <c r="S20" s="81"/>
      <c r="T20" s="60"/>
      <c r="U20" s="60"/>
      <c r="V20" s="60"/>
      <c r="W20" s="60"/>
    </row>
    <row r="21" spans="1:23" ht="63.75" x14ac:dyDescent="0.2">
      <c r="A21" s="94" t="s">
        <v>118</v>
      </c>
      <c r="B21" s="72" t="s">
        <v>86</v>
      </c>
      <c r="C21" s="94" t="s">
        <v>74</v>
      </c>
      <c r="D21" s="68" t="s">
        <v>87</v>
      </c>
      <c r="E21" s="73">
        <v>21</v>
      </c>
      <c r="F21" s="73">
        <v>10</v>
      </c>
      <c r="G21" s="73">
        <v>0</v>
      </c>
      <c r="H21" s="70">
        <f>22680*F21</f>
        <v>226800</v>
      </c>
      <c r="I21" s="70">
        <f t="shared" si="3"/>
        <v>196770</v>
      </c>
      <c r="J21" s="70">
        <f t="shared" si="0"/>
        <v>30030</v>
      </c>
      <c r="K21" s="70">
        <f>23600*G21</f>
        <v>0</v>
      </c>
      <c r="L21" s="70">
        <v>0</v>
      </c>
      <c r="M21" s="70">
        <f>13680*G21</f>
        <v>0</v>
      </c>
      <c r="N21" s="70"/>
      <c r="O21" s="70"/>
      <c r="P21" s="70">
        <f t="shared" si="1"/>
        <v>3003</v>
      </c>
      <c r="Q21" s="70">
        <f t="shared" si="4"/>
        <v>30030</v>
      </c>
      <c r="R21" s="71">
        <f t="shared" si="2"/>
        <v>0</v>
      </c>
      <c r="S21" s="81"/>
      <c r="T21" s="60"/>
      <c r="U21" s="60"/>
      <c r="V21" s="60"/>
      <c r="W21" s="60"/>
    </row>
    <row r="22" spans="1:23" ht="25.5" x14ac:dyDescent="0.2">
      <c r="A22" s="94" t="s">
        <v>109</v>
      </c>
      <c r="B22" s="72" t="s">
        <v>57</v>
      </c>
      <c r="C22" s="94" t="s">
        <v>74</v>
      </c>
      <c r="D22" s="68" t="s">
        <v>88</v>
      </c>
      <c r="E22" s="73">
        <v>21</v>
      </c>
      <c r="F22" s="73">
        <v>12</v>
      </c>
      <c r="G22" s="73">
        <v>1</v>
      </c>
      <c r="H22" s="70">
        <f>20000*F22</f>
        <v>240000</v>
      </c>
      <c r="I22" s="70">
        <f t="shared" si="3"/>
        <v>236124</v>
      </c>
      <c r="J22" s="70">
        <f>H22-I22</f>
        <v>3876</v>
      </c>
      <c r="K22" s="70">
        <v>0</v>
      </c>
      <c r="L22" s="70">
        <f>3565.6*F22+19464.18</f>
        <v>62251.38</v>
      </c>
      <c r="M22" s="70">
        <v>3832.85</v>
      </c>
      <c r="N22" s="70">
        <f>O22/F22</f>
        <v>319.40416666666664</v>
      </c>
      <c r="O22" s="70">
        <f>M22*G22</f>
        <v>3832.85</v>
      </c>
      <c r="P22" s="70">
        <f t="shared" si="1"/>
        <v>5510.6150000000007</v>
      </c>
      <c r="Q22" s="70">
        <f>J22+K22+L22</f>
        <v>66127.38</v>
      </c>
      <c r="R22" s="71">
        <v>0</v>
      </c>
      <c r="S22" s="81"/>
      <c r="T22" s="60"/>
      <c r="U22" s="60"/>
      <c r="V22" s="60"/>
      <c r="W22" s="60"/>
    </row>
    <row r="23" spans="1:23" ht="51" x14ac:dyDescent="0.2">
      <c r="A23" s="94" t="s">
        <v>78</v>
      </c>
      <c r="B23" s="72" t="s">
        <v>111</v>
      </c>
      <c r="C23" s="94" t="s">
        <v>74</v>
      </c>
      <c r="D23" s="68" t="s">
        <v>112</v>
      </c>
      <c r="E23" s="73">
        <v>7</v>
      </c>
      <c r="F23" s="73">
        <v>6</v>
      </c>
      <c r="G23" s="73">
        <v>1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/>
      <c r="O23" s="70"/>
      <c r="P23" s="70">
        <v>0</v>
      </c>
      <c r="Q23" s="70">
        <v>0</v>
      </c>
      <c r="R23" s="71">
        <v>0</v>
      </c>
      <c r="S23" s="81"/>
      <c r="T23" s="60"/>
      <c r="U23" s="60"/>
      <c r="V23" s="60"/>
      <c r="W23" s="60"/>
    </row>
    <row r="24" spans="1:23" ht="38.25" x14ac:dyDescent="0.2">
      <c r="A24" s="94" t="s">
        <v>103</v>
      </c>
      <c r="B24" s="72" t="s">
        <v>81</v>
      </c>
      <c r="C24" s="94" t="s">
        <v>74</v>
      </c>
      <c r="D24" s="68" t="s">
        <v>89</v>
      </c>
      <c r="E24" s="73">
        <v>21</v>
      </c>
      <c r="F24" s="73">
        <v>11</v>
      </c>
      <c r="G24" s="73">
        <v>0</v>
      </c>
      <c r="H24" s="70">
        <f>20160*F24</f>
        <v>221760</v>
      </c>
      <c r="I24" s="70">
        <f t="shared" si="3"/>
        <v>216447</v>
      </c>
      <c r="J24" s="70">
        <f t="shared" si="0"/>
        <v>5313</v>
      </c>
      <c r="K24" s="70">
        <f>23600*G24</f>
        <v>0</v>
      </c>
      <c r="L24" s="70">
        <v>0</v>
      </c>
      <c r="M24" s="70">
        <f>13680*G24</f>
        <v>0</v>
      </c>
      <c r="N24" s="70"/>
      <c r="O24" s="70"/>
      <c r="P24" s="70">
        <f>Q24/F24</f>
        <v>483</v>
      </c>
      <c r="Q24" s="70">
        <f t="shared" si="4"/>
        <v>5313</v>
      </c>
      <c r="R24" s="71">
        <f>M24</f>
        <v>0</v>
      </c>
      <c r="S24" s="81"/>
      <c r="T24" s="60"/>
      <c r="U24" s="60"/>
      <c r="V24" s="60"/>
      <c r="W24" s="60"/>
    </row>
    <row r="25" spans="1:23" ht="38.25" x14ac:dyDescent="0.2">
      <c r="A25" s="94" t="s">
        <v>110</v>
      </c>
      <c r="B25" s="69" t="s">
        <v>82</v>
      </c>
      <c r="C25" s="94" t="s">
        <v>74</v>
      </c>
      <c r="D25" s="94" t="s">
        <v>137</v>
      </c>
      <c r="E25" s="94" t="s">
        <v>77</v>
      </c>
      <c r="F25" s="94" t="s">
        <v>78</v>
      </c>
      <c r="G25" s="94" t="s">
        <v>73</v>
      </c>
      <c r="H25" s="70">
        <f>21500*F25</f>
        <v>258000</v>
      </c>
      <c r="I25" s="70">
        <f t="shared" si="3"/>
        <v>236124</v>
      </c>
      <c r="J25" s="70">
        <f t="shared" si="0"/>
        <v>21876</v>
      </c>
      <c r="K25" s="70">
        <f>21500*G25</f>
        <v>21500</v>
      </c>
      <c r="L25" s="70">
        <f>8800*F25+5279.44</f>
        <v>110879.44</v>
      </c>
      <c r="M25" s="70">
        <f>13616*G25</f>
        <v>13616</v>
      </c>
      <c r="N25" s="70"/>
      <c r="O25" s="70"/>
      <c r="P25" s="70">
        <f>Q25/F25</f>
        <v>12854.62</v>
      </c>
      <c r="Q25" s="70">
        <f>J25+K25+L25</f>
        <v>154255.44</v>
      </c>
      <c r="R25" s="71">
        <f>M25</f>
        <v>13616</v>
      </c>
      <c r="S25" s="81"/>
      <c r="T25" s="60"/>
      <c r="U25" s="60"/>
      <c r="V25" s="60"/>
      <c r="W25" s="60"/>
    </row>
    <row r="26" spans="1:23" ht="63.75" x14ac:dyDescent="0.2">
      <c r="A26" s="94" t="s">
        <v>115</v>
      </c>
      <c r="B26" s="72" t="s">
        <v>113</v>
      </c>
      <c r="C26" s="94" t="s">
        <v>74</v>
      </c>
      <c r="D26" s="94" t="s">
        <v>114</v>
      </c>
      <c r="E26" s="94" t="s">
        <v>98</v>
      </c>
      <c r="F26" s="94" t="s">
        <v>107</v>
      </c>
      <c r="G26" s="94" t="s">
        <v>73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/>
      <c r="O26" s="70"/>
      <c r="P26" s="70">
        <v>0</v>
      </c>
      <c r="Q26" s="70">
        <v>0</v>
      </c>
      <c r="R26" s="71">
        <v>0</v>
      </c>
      <c r="S26" s="81"/>
      <c r="T26" s="60"/>
      <c r="U26" s="60"/>
      <c r="V26" s="60"/>
      <c r="W26" s="60"/>
    </row>
    <row r="27" spans="1:23" ht="89.25" x14ac:dyDescent="0.2">
      <c r="A27" s="94" t="s">
        <v>124</v>
      </c>
      <c r="B27" s="72" t="s">
        <v>116</v>
      </c>
      <c r="C27" s="94" t="s">
        <v>74</v>
      </c>
      <c r="D27" s="94" t="s">
        <v>117</v>
      </c>
      <c r="E27" s="94" t="s">
        <v>98</v>
      </c>
      <c r="F27" s="94" t="s">
        <v>118</v>
      </c>
      <c r="G27" s="94" t="s">
        <v>73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/>
      <c r="O27" s="70"/>
      <c r="P27" s="70">
        <v>0</v>
      </c>
      <c r="Q27" s="70">
        <v>0</v>
      </c>
      <c r="R27" s="71">
        <v>0</v>
      </c>
      <c r="S27" s="81"/>
      <c r="T27" s="60"/>
      <c r="U27" s="60"/>
      <c r="V27" s="60"/>
      <c r="W27" s="60"/>
    </row>
    <row r="28" spans="1:23" ht="63.75" x14ac:dyDescent="0.2">
      <c r="A28" s="94" t="s">
        <v>127</v>
      </c>
      <c r="B28" s="72" t="s">
        <v>139</v>
      </c>
      <c r="C28" s="94" t="s">
        <v>140</v>
      </c>
      <c r="D28" s="94" t="s">
        <v>141</v>
      </c>
      <c r="E28" s="94" t="s">
        <v>98</v>
      </c>
      <c r="F28" s="94" t="s">
        <v>78</v>
      </c>
      <c r="G28" s="94" t="s">
        <v>73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/>
      <c r="O28" s="70"/>
      <c r="P28" s="70">
        <v>0</v>
      </c>
      <c r="Q28" s="70">
        <v>0</v>
      </c>
      <c r="R28" s="71">
        <v>0</v>
      </c>
      <c r="S28" s="81"/>
      <c r="T28" s="60"/>
      <c r="U28" s="60"/>
      <c r="V28" s="60"/>
      <c r="W28" s="60"/>
    </row>
    <row r="29" spans="1:23" ht="63.75" x14ac:dyDescent="0.2">
      <c r="A29" s="94" t="s">
        <v>138</v>
      </c>
      <c r="B29" s="72" t="s">
        <v>119</v>
      </c>
      <c r="C29" s="94" t="s">
        <v>74</v>
      </c>
      <c r="D29" s="94" t="s">
        <v>120</v>
      </c>
      <c r="E29" s="94" t="s">
        <v>98</v>
      </c>
      <c r="F29" s="94" t="s">
        <v>121</v>
      </c>
      <c r="G29" s="94" t="s">
        <v>73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/>
      <c r="O29" s="70"/>
      <c r="P29" s="70">
        <v>0</v>
      </c>
      <c r="Q29" s="70">
        <v>0</v>
      </c>
      <c r="R29" s="71">
        <v>0</v>
      </c>
      <c r="S29" s="81"/>
      <c r="T29" s="60"/>
      <c r="U29" s="60"/>
      <c r="V29" s="60"/>
      <c r="W29" s="60"/>
    </row>
    <row r="30" spans="1:23" x14ac:dyDescent="0.2">
      <c r="A30" s="58"/>
      <c r="B30" s="59" t="s">
        <v>90</v>
      </c>
      <c r="C30" s="59"/>
      <c r="D30" s="59"/>
      <c r="E30" s="74"/>
      <c r="F30" s="76">
        <f>F12+F13+F14+F15+F16+F17+F18+F20+F21+F22+F23+F24+F25+F26+F27+F29+F28</f>
        <v>197</v>
      </c>
      <c r="G30" s="74"/>
      <c r="H30" s="75">
        <f t="shared" ref="H30:R30" si="6">H12+H13+H14+H15+H16+H17+H18+H20+H21+H22+H23+H24+H25+H26+H27+H29</f>
        <v>2756680</v>
      </c>
      <c r="I30" s="75">
        <f t="shared" si="6"/>
        <v>2328445</v>
      </c>
      <c r="J30" s="75">
        <f t="shared" si="6"/>
        <v>377687.58</v>
      </c>
      <c r="K30" s="75">
        <f t="shared" si="6"/>
        <v>149300</v>
      </c>
      <c r="L30" s="75">
        <f t="shared" si="6"/>
        <v>802885.56</v>
      </c>
      <c r="M30" s="75">
        <f t="shared" si="6"/>
        <v>92372.05</v>
      </c>
      <c r="N30" s="75">
        <f t="shared" si="6"/>
        <v>319.40416666666664</v>
      </c>
      <c r="O30" s="75">
        <f t="shared" si="6"/>
        <v>3832.85</v>
      </c>
      <c r="P30" s="75">
        <f t="shared" si="6"/>
        <v>99974.125128205123</v>
      </c>
      <c r="Q30" s="75">
        <f t="shared" si="6"/>
        <v>1348188.7399999998</v>
      </c>
      <c r="R30" s="75">
        <f t="shared" si="6"/>
        <v>70223.600000000006</v>
      </c>
      <c r="S30" s="81"/>
      <c r="T30" s="60"/>
      <c r="U30" s="60"/>
      <c r="V30" s="60"/>
    </row>
    <row r="31" spans="1:23" ht="38.25" x14ac:dyDescent="0.2">
      <c r="A31" s="94" t="s">
        <v>73</v>
      </c>
      <c r="B31" s="69" t="s">
        <v>84</v>
      </c>
      <c r="C31" s="94" t="s">
        <v>91</v>
      </c>
      <c r="D31" s="68" t="s">
        <v>76</v>
      </c>
      <c r="E31" s="73">
        <v>21</v>
      </c>
      <c r="F31" s="73">
        <v>12</v>
      </c>
      <c r="G31" s="73">
        <v>1</v>
      </c>
      <c r="H31" s="70">
        <f>21500*F31</f>
        <v>258000</v>
      </c>
      <c r="I31" s="70">
        <f t="shared" ref="I31:I38" si="7">H31</f>
        <v>258000</v>
      </c>
      <c r="J31" s="70">
        <f>H31-I31</f>
        <v>0</v>
      </c>
      <c r="K31" s="70">
        <f>21500*G31</f>
        <v>21500</v>
      </c>
      <c r="L31" s="70">
        <f>10665.9*F31</f>
        <v>127990.79999999999</v>
      </c>
      <c r="M31" s="70">
        <f>13616*G31</f>
        <v>13616</v>
      </c>
      <c r="N31" s="70">
        <f t="shared" ref="N31:N38" si="8">O31/F31</f>
        <v>1791.6666666666667</v>
      </c>
      <c r="O31" s="70">
        <f>K31</f>
        <v>21500</v>
      </c>
      <c r="P31" s="70">
        <f t="shared" ref="P31:P38" si="9">L31/F31*0.1</f>
        <v>1066.5899999999999</v>
      </c>
      <c r="Q31" s="70">
        <f t="shared" ref="Q31" si="10">P31*F31</f>
        <v>12799.079999999998</v>
      </c>
      <c r="R31" s="71">
        <f>M31</f>
        <v>13616</v>
      </c>
      <c r="S31" s="82"/>
      <c r="T31" s="60"/>
      <c r="U31" s="60"/>
      <c r="V31" s="60"/>
      <c r="W31" s="60"/>
    </row>
    <row r="32" spans="1:23" ht="38.25" x14ac:dyDescent="0.2">
      <c r="A32" s="94" t="s">
        <v>100</v>
      </c>
      <c r="B32" s="72" t="s">
        <v>81</v>
      </c>
      <c r="C32" s="94" t="s">
        <v>91</v>
      </c>
      <c r="D32" s="68" t="s">
        <v>93</v>
      </c>
      <c r="E32" s="73">
        <v>21</v>
      </c>
      <c r="F32" s="73">
        <v>11</v>
      </c>
      <c r="G32" s="73">
        <v>0</v>
      </c>
      <c r="H32" s="70">
        <f>20160*F32</f>
        <v>221760</v>
      </c>
      <c r="I32" s="70">
        <f t="shared" ref="I32" si="11">H32</f>
        <v>221760</v>
      </c>
      <c r="J32" s="70">
        <f>H32-I32</f>
        <v>0</v>
      </c>
      <c r="K32" s="70">
        <f>23600*G32</f>
        <v>0</v>
      </c>
      <c r="L32" s="70">
        <v>0</v>
      </c>
      <c r="M32" s="70">
        <f>13680*G32</f>
        <v>0</v>
      </c>
      <c r="N32" s="70">
        <v>0</v>
      </c>
      <c r="O32" s="70">
        <v>0</v>
      </c>
      <c r="P32" s="70">
        <f>Q32/F32</f>
        <v>0</v>
      </c>
      <c r="Q32" s="70">
        <f>J32+K32+L32</f>
        <v>0</v>
      </c>
      <c r="R32" s="71">
        <f>M32</f>
        <v>0</v>
      </c>
      <c r="S32" s="82"/>
      <c r="T32" s="60"/>
      <c r="U32" s="60"/>
      <c r="V32" s="60"/>
      <c r="W32" s="60"/>
    </row>
    <row r="33" spans="1:23" ht="38.25" x14ac:dyDescent="0.2">
      <c r="A33" s="94" t="s">
        <v>104</v>
      </c>
      <c r="B33" s="69" t="s">
        <v>130</v>
      </c>
      <c r="C33" s="94" t="s">
        <v>91</v>
      </c>
      <c r="D33" s="68" t="s">
        <v>131</v>
      </c>
      <c r="E33" s="73">
        <v>21</v>
      </c>
      <c r="F33" s="73">
        <v>8</v>
      </c>
      <c r="G33" s="73">
        <v>1</v>
      </c>
      <c r="H33" s="70">
        <f>20500*F33</f>
        <v>164000</v>
      </c>
      <c r="I33" s="70">
        <f t="shared" si="7"/>
        <v>164000</v>
      </c>
      <c r="J33" s="70">
        <f>H33-I33</f>
        <v>0</v>
      </c>
      <c r="K33" s="70">
        <f>0*G33</f>
        <v>0</v>
      </c>
      <c r="L33" s="70">
        <f>7985.9*F33</f>
        <v>63887.199999999997</v>
      </c>
      <c r="M33" s="70">
        <v>0</v>
      </c>
      <c r="N33" s="70">
        <f t="shared" si="8"/>
        <v>0</v>
      </c>
      <c r="O33" s="70">
        <f>K33</f>
        <v>0</v>
      </c>
      <c r="P33" s="70">
        <f t="shared" si="9"/>
        <v>798.59</v>
      </c>
      <c r="Q33" s="70">
        <f>P33*F33</f>
        <v>6388.72</v>
      </c>
      <c r="R33" s="71">
        <f>M33</f>
        <v>0</v>
      </c>
      <c r="S33" s="82"/>
      <c r="T33" s="60"/>
      <c r="U33" s="60"/>
      <c r="V33" s="60"/>
      <c r="W33" s="60"/>
    </row>
    <row r="34" spans="1:23" ht="25.5" x14ac:dyDescent="0.2">
      <c r="A34" s="94" t="s">
        <v>107</v>
      </c>
      <c r="B34" s="72" t="s">
        <v>57</v>
      </c>
      <c r="C34" s="94" t="s">
        <v>91</v>
      </c>
      <c r="D34" s="68" t="s">
        <v>92</v>
      </c>
      <c r="E34" s="73">
        <v>21</v>
      </c>
      <c r="F34" s="73">
        <v>13</v>
      </c>
      <c r="G34" s="73">
        <v>1</v>
      </c>
      <c r="H34" s="70">
        <f>20000*F34</f>
        <v>260000</v>
      </c>
      <c r="I34" s="70">
        <f t="shared" si="7"/>
        <v>260000</v>
      </c>
      <c r="J34" s="70">
        <v>0</v>
      </c>
      <c r="K34" s="70">
        <v>0</v>
      </c>
      <c r="L34" s="70">
        <f>3565.6*F34+15842.54+670-3.7</f>
        <v>62861.64</v>
      </c>
      <c r="M34" s="70">
        <v>0</v>
      </c>
      <c r="N34" s="70">
        <f t="shared" si="8"/>
        <v>0</v>
      </c>
      <c r="O34" s="70">
        <f>M34</f>
        <v>0</v>
      </c>
      <c r="P34" s="70">
        <f>L34/F34*0.1</f>
        <v>483.55107692307695</v>
      </c>
      <c r="Q34" s="70">
        <f>P34*F34</f>
        <v>6286.1640000000007</v>
      </c>
      <c r="R34" s="71">
        <v>0</v>
      </c>
      <c r="S34" s="82"/>
      <c r="T34" s="60"/>
      <c r="U34" s="60"/>
      <c r="V34" s="60"/>
      <c r="W34" s="60"/>
    </row>
    <row r="35" spans="1:23" ht="38.25" x14ac:dyDescent="0.2">
      <c r="A35" s="94" t="s">
        <v>108</v>
      </c>
      <c r="B35" s="72" t="s">
        <v>135</v>
      </c>
      <c r="C35" s="94" t="s">
        <v>91</v>
      </c>
      <c r="D35" s="68" t="s">
        <v>136</v>
      </c>
      <c r="E35" s="73">
        <v>21</v>
      </c>
      <c r="F35" s="73">
        <v>2</v>
      </c>
      <c r="G35" s="73">
        <v>1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1">
        <v>0</v>
      </c>
      <c r="S35" s="82"/>
      <c r="T35" s="60"/>
      <c r="U35" s="60"/>
      <c r="V35" s="60"/>
      <c r="W35" s="60"/>
    </row>
    <row r="36" spans="1:23" ht="51" x14ac:dyDescent="0.2">
      <c r="A36" s="94" t="s">
        <v>122</v>
      </c>
      <c r="B36" s="72" t="s">
        <v>128</v>
      </c>
      <c r="C36" s="94" t="s">
        <v>91</v>
      </c>
      <c r="D36" s="68" t="s">
        <v>129</v>
      </c>
      <c r="E36" s="73">
        <v>21</v>
      </c>
      <c r="F36" s="73">
        <v>12</v>
      </c>
      <c r="G36" s="73">
        <v>1</v>
      </c>
      <c r="H36" s="70">
        <f>28350*F36</f>
        <v>340200</v>
      </c>
      <c r="I36" s="70">
        <f t="shared" si="7"/>
        <v>340200</v>
      </c>
      <c r="J36" s="70">
        <f>H36-I36</f>
        <v>0</v>
      </c>
      <c r="K36" s="70">
        <f>28350*G36</f>
        <v>28350</v>
      </c>
      <c r="L36" s="70">
        <f>9549.75*F36</f>
        <v>114597</v>
      </c>
      <c r="M36" s="70">
        <v>0</v>
      </c>
      <c r="N36" s="70">
        <f t="shared" si="8"/>
        <v>2362.5</v>
      </c>
      <c r="O36" s="70">
        <f>K36</f>
        <v>28350</v>
      </c>
      <c r="P36" s="70">
        <f>L36/F36*0.1</f>
        <v>954.97500000000002</v>
      </c>
      <c r="Q36" s="70">
        <f>P36*F36</f>
        <v>11459.7</v>
      </c>
      <c r="R36" s="71">
        <f>M36</f>
        <v>0</v>
      </c>
      <c r="S36" s="82"/>
      <c r="T36" s="60"/>
      <c r="U36" s="60"/>
      <c r="V36" s="60"/>
      <c r="W36" s="60"/>
    </row>
    <row r="37" spans="1:23" ht="38.25" x14ac:dyDescent="0.2">
      <c r="A37" s="94" t="s">
        <v>98</v>
      </c>
      <c r="B37" s="69" t="s">
        <v>84</v>
      </c>
      <c r="C37" s="94" t="s">
        <v>91</v>
      </c>
      <c r="D37" s="68" t="s">
        <v>132</v>
      </c>
      <c r="E37" s="73">
        <v>21</v>
      </c>
      <c r="F37" s="73">
        <v>24</v>
      </c>
      <c r="G37" s="73">
        <v>2</v>
      </c>
      <c r="H37" s="70">
        <f>21500*F37</f>
        <v>516000</v>
      </c>
      <c r="I37" s="70">
        <f t="shared" ref="I37" si="12">H37</f>
        <v>516000</v>
      </c>
      <c r="J37" s="70">
        <f>H37-I37</f>
        <v>0</v>
      </c>
      <c r="K37" s="70">
        <f>21500*G37</f>
        <v>43000</v>
      </c>
      <c r="L37" s="70">
        <f>9034.814*F37</f>
        <v>216835.53600000002</v>
      </c>
      <c r="M37" s="70">
        <v>0</v>
      </c>
      <c r="N37" s="70">
        <f t="shared" si="8"/>
        <v>1791.6666666666667</v>
      </c>
      <c r="O37" s="70">
        <f>K37</f>
        <v>43000</v>
      </c>
      <c r="P37" s="70">
        <f t="shared" si="9"/>
        <v>903.48140000000012</v>
      </c>
      <c r="Q37" s="70">
        <f>P37*F37</f>
        <v>21683.553600000003</v>
      </c>
      <c r="R37" s="71">
        <f>M37</f>
        <v>0</v>
      </c>
      <c r="S37" s="82"/>
      <c r="T37" s="60"/>
      <c r="U37" s="60"/>
      <c r="V37" s="60"/>
      <c r="W37" s="60"/>
    </row>
    <row r="38" spans="1:23" ht="38.25" x14ac:dyDescent="0.2">
      <c r="A38" s="94" t="s">
        <v>121</v>
      </c>
      <c r="B38" s="72" t="s">
        <v>56</v>
      </c>
      <c r="C38" s="68" t="s">
        <v>91</v>
      </c>
      <c r="D38" s="68" t="s">
        <v>134</v>
      </c>
      <c r="E38" s="73">
        <v>20</v>
      </c>
      <c r="F38" s="73">
        <v>13</v>
      </c>
      <c r="G38" s="73">
        <v>1</v>
      </c>
      <c r="H38" s="70">
        <f>20265*F38</f>
        <v>263445</v>
      </c>
      <c r="I38" s="70">
        <f t="shared" si="7"/>
        <v>263445</v>
      </c>
      <c r="J38" s="70">
        <v>0</v>
      </c>
      <c r="K38" s="70">
        <v>0</v>
      </c>
      <c r="L38" s="70">
        <f>4867.36*F38</f>
        <v>63275.679999999993</v>
      </c>
      <c r="M38" s="70">
        <v>0</v>
      </c>
      <c r="N38" s="70">
        <f t="shared" si="8"/>
        <v>0</v>
      </c>
      <c r="O38" s="70">
        <f>M38</f>
        <v>0</v>
      </c>
      <c r="P38" s="70">
        <f t="shared" si="9"/>
        <v>486.73599999999999</v>
      </c>
      <c r="Q38" s="70">
        <f>P38*F38</f>
        <v>6327.5680000000002</v>
      </c>
      <c r="R38" s="71">
        <v>0</v>
      </c>
      <c r="S38" s="82"/>
      <c r="T38" s="60"/>
      <c r="U38" s="60"/>
      <c r="V38" s="60"/>
      <c r="W38" s="60"/>
    </row>
    <row r="39" spans="1:23" x14ac:dyDescent="0.2">
      <c r="A39" s="61"/>
      <c r="B39" s="59" t="s">
        <v>94</v>
      </c>
      <c r="C39" s="59"/>
      <c r="D39" s="59"/>
      <c r="E39" s="74"/>
      <c r="F39" s="74">
        <f>F31+F32+F33+F34+F35+F36+F37+F38</f>
        <v>95</v>
      </c>
      <c r="G39" s="74"/>
      <c r="H39" s="75">
        <f>SUM(H31:H38)</f>
        <v>2023405</v>
      </c>
      <c r="I39" s="75">
        <f t="shared" ref="I39:R39" si="13">SUM(I31:I38)</f>
        <v>2023405</v>
      </c>
      <c r="J39" s="75">
        <f t="shared" si="13"/>
        <v>0</v>
      </c>
      <c r="K39" s="75">
        <f t="shared" si="13"/>
        <v>92850</v>
      </c>
      <c r="L39" s="75">
        <f t="shared" si="13"/>
        <v>649447.85599999991</v>
      </c>
      <c r="M39" s="75">
        <f t="shared" si="13"/>
        <v>13616</v>
      </c>
      <c r="N39" s="75">
        <f t="shared" si="13"/>
        <v>5945.8333333333339</v>
      </c>
      <c r="O39" s="75">
        <f t="shared" si="13"/>
        <v>92850</v>
      </c>
      <c r="P39" s="75">
        <f t="shared" si="13"/>
        <v>4693.9234769230761</v>
      </c>
      <c r="Q39" s="75">
        <f t="shared" si="13"/>
        <v>64944.785600000003</v>
      </c>
      <c r="R39" s="75">
        <f t="shared" si="13"/>
        <v>13616</v>
      </c>
      <c r="S39" s="81"/>
    </row>
    <row r="40" spans="1:23" x14ac:dyDescent="0.2">
      <c r="A40" s="59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1"/>
    </row>
    <row r="41" spans="1:23" x14ac:dyDescent="0.2">
      <c r="A41" s="77"/>
      <c r="B41" s="78" t="s">
        <v>95</v>
      </c>
      <c r="C41" s="78"/>
      <c r="D41" s="78"/>
      <c r="E41" s="78"/>
      <c r="F41" s="79">
        <f>F30+F39</f>
        <v>292</v>
      </c>
      <c r="G41" s="78"/>
      <c r="H41" s="80">
        <f t="shared" ref="H41:R41" si="14">H30+H39</f>
        <v>4780085</v>
      </c>
      <c r="I41" s="80">
        <f t="shared" si="14"/>
        <v>4351850</v>
      </c>
      <c r="J41" s="80">
        <f t="shared" si="14"/>
        <v>377687.58</v>
      </c>
      <c r="K41" s="80">
        <f t="shared" si="14"/>
        <v>242150</v>
      </c>
      <c r="L41" s="80">
        <f t="shared" si="14"/>
        <v>1452333.416</v>
      </c>
      <c r="M41" s="80">
        <f t="shared" si="14"/>
        <v>105988.05</v>
      </c>
      <c r="N41" s="80">
        <f t="shared" si="14"/>
        <v>6265.2375000000002</v>
      </c>
      <c r="O41" s="80">
        <f t="shared" si="14"/>
        <v>96682.85</v>
      </c>
      <c r="P41" s="80">
        <f t="shared" si="14"/>
        <v>104668.04860512821</v>
      </c>
      <c r="Q41" s="80">
        <f t="shared" si="14"/>
        <v>1413133.5255999998</v>
      </c>
      <c r="R41" s="80">
        <f t="shared" si="14"/>
        <v>83839.600000000006</v>
      </c>
      <c r="S41" s="81"/>
    </row>
    <row r="42" spans="1:23" x14ac:dyDescent="0.2">
      <c r="A42" s="83"/>
      <c r="O42" s="62"/>
    </row>
    <row r="43" spans="1:23" x14ac:dyDescent="0.2">
      <c r="O43" s="62"/>
    </row>
  </sheetData>
  <mergeCells count="30">
    <mergeCell ref="N10:N11"/>
    <mergeCell ref="A8:A11"/>
    <mergeCell ref="B8:B11"/>
    <mergeCell ref="C8:C11"/>
    <mergeCell ref="D8:D11"/>
    <mergeCell ref="E8:E11"/>
    <mergeCell ref="H8:K9"/>
    <mergeCell ref="L8:M9"/>
    <mergeCell ref="G9:G11"/>
    <mergeCell ref="H10:H11"/>
    <mergeCell ref="I10:I11"/>
    <mergeCell ref="J10:J11"/>
    <mergeCell ref="K10:K11"/>
    <mergeCell ref="M10:M11"/>
    <mergeCell ref="O10:O11"/>
    <mergeCell ref="P10:P11"/>
    <mergeCell ref="Q10:Q11"/>
    <mergeCell ref="A6:R6"/>
    <mergeCell ref="O1:R1"/>
    <mergeCell ref="O2:R2"/>
    <mergeCell ref="O3:R3"/>
    <mergeCell ref="O4:R4"/>
    <mergeCell ref="O5:S5"/>
    <mergeCell ref="S10:S11"/>
    <mergeCell ref="N8:O9"/>
    <mergeCell ref="P8:Q9"/>
    <mergeCell ref="R8:R11"/>
    <mergeCell ref="F9:F11"/>
    <mergeCell ref="L10:L11"/>
    <mergeCell ref="F8:G8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лето</vt:lpstr>
      <vt:lpstr>весна, осень</vt:lpstr>
      <vt:lpstr>твое призвание</vt:lpstr>
      <vt:lpstr>школа мол. актива (дневной)</vt:lpstr>
      <vt:lpstr>мы-патриоты (дневной)</vt:lpstr>
      <vt:lpstr>слет кадетов (дневной)</vt:lpstr>
      <vt:lpstr>путевки</vt:lpstr>
      <vt:lpstr>Лист4</vt:lpstr>
      <vt:lpstr>лето!Область_печати</vt:lpstr>
      <vt:lpstr>путевки!Область_печати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2017-04-17T08:03:08Z</dcterms:modified>
</cp:coreProperties>
</file>